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430" yWindow="0" windowWidth="12435" windowHeight="9480" tabRatio="711"/>
  </bookViews>
  <sheets>
    <sheet name="表紙" sheetId="10" r:id="rId1"/>
    <sheet name="1.定格エネルギー消費量" sheetId="14" r:id="rId2"/>
    <sheet name="3.立上り性能" sheetId="11" r:id="rId3"/>
    <sheet name="4.処理能力" sheetId="4" r:id="rId4"/>
    <sheet name="5.エネルギー消費量" sheetId="6" r:id="rId5"/>
    <sheet name="6.給水量または給湯量" sheetId="12" r:id="rId6"/>
  </sheets>
  <definedNames>
    <definedName name="_xlnm._FilterDatabase" localSheetId="0" hidden="1">表紙!#REF!</definedName>
    <definedName name="_xlnm.Print_Area" localSheetId="1">'1.定格エネルギー消費量'!$A$2:$K$46,'1.定格エネルギー消費量'!$A$48:$K$93,'1.定格エネルギー消費量'!$A$95:$K$144</definedName>
    <definedName name="_xlnm.Print_Area" localSheetId="2">'3.立上り性能'!$A$2:$L$56,'3.立上り性能'!$A$58:$L$98</definedName>
    <definedName name="_xlnm.Print_Area" localSheetId="3">'4.処理能力'!$A$2:$O$48</definedName>
    <definedName name="_xlnm.Print_Area" localSheetId="4">'5.エネルギー消費量'!$A$2:$L$51,'5.エネルギー消費量'!$A$53:$L$92,'5.エネルギー消費量'!$A$94:$L$138,'5.エネルギー消費量'!$A$140:$L$182,'5.エネルギー消費量'!$A$184:$L$227,'5.エネルギー消費量'!$A$229:$L$276,'5.エネルギー消費量'!$A$278:$L$317</definedName>
    <definedName name="_xlnm.Print_Area" localSheetId="5">'6.給水量または給湯量'!$A$2:$J$44</definedName>
    <definedName name="_xlnm.Print_Area" localSheetId="0">表紙!$A$1:$K$63</definedName>
    <definedName name="フライトコンベア洗浄機">表紙!$O$12:$O$13</definedName>
    <definedName name="フラットコンベア洗浄機">表紙!$P$12:$P$14</definedName>
    <definedName name="ラックコンベア洗浄機">表紙!$N$8:$N$9</definedName>
    <definedName name="ラックコンベア洗浄機_フライトコンベア洗浄機_フラットコンベア洗浄機_選択してください">表紙!$M$11:$M$13</definedName>
    <definedName name="給水接続">'3.立上り性能'!$R$32</definedName>
    <definedName name="給水接続エネ">'5.エネルギー消費量'!$Q$28</definedName>
    <definedName name="給湯接続">'3.立上り性能'!$Q$32</definedName>
    <definedName name="給湯接続エネ">'5.エネルギー消費量'!$P$28</definedName>
    <definedName name="空水接続">'3.立上り性能'!$S$32</definedName>
    <definedName name="空接続エネ">'5.エネルギー消費量'!$R$28</definedName>
    <definedName name="水温記号エネ" localSheetId="4">INDIRECT('5.エネルギー消費量'!$O$28)</definedName>
    <definedName name="水温記号立上り" localSheetId="2">INDIRECT('3.立上り性能'!$P$32)</definedName>
    <definedName name="品目">表紙!$M$11:$P$14</definedName>
  </definedNames>
  <calcPr calcId="145621"/>
</workbook>
</file>

<file path=xl/calcChain.xml><?xml version="1.0" encoding="utf-8"?>
<calcChain xmlns="http://schemas.openxmlformats.org/spreadsheetml/2006/main">
  <c r="I12" i="10" l="1"/>
  <c r="B142" i="6" l="1"/>
  <c r="I142" i="6"/>
  <c r="K141" i="6"/>
  <c r="B141" i="6"/>
  <c r="D45" i="4"/>
  <c r="K32" i="4"/>
  <c r="I51" i="11" l="1"/>
  <c r="H51" i="11"/>
  <c r="I33" i="11"/>
  <c r="H33" i="11"/>
  <c r="I53" i="11" l="1"/>
  <c r="I55" i="11" s="1"/>
  <c r="I35" i="11"/>
  <c r="I37" i="11" s="1"/>
  <c r="H117" i="6" l="1"/>
  <c r="Q23" i="6"/>
  <c r="E105" i="14"/>
  <c r="P23" i="6" l="1"/>
  <c r="E82" i="14"/>
  <c r="F82" i="14"/>
  <c r="H81" i="14"/>
  <c r="I80" i="11" l="1"/>
  <c r="H80" i="11"/>
  <c r="H88" i="11" s="1"/>
  <c r="H34" i="6" s="1"/>
  <c r="I269" i="6" l="1"/>
  <c r="I271" i="6" s="1"/>
  <c r="H269" i="6"/>
  <c r="H271" i="6" s="1"/>
  <c r="H18" i="10" l="1"/>
  <c r="H17" i="10"/>
  <c r="C15" i="10"/>
  <c r="H16" i="10"/>
  <c r="H15" i="10"/>
  <c r="C16" i="10"/>
  <c r="C17" i="10"/>
  <c r="C18" i="10"/>
  <c r="I217" i="6" l="1"/>
  <c r="I218" i="6"/>
  <c r="I117" i="6" l="1"/>
  <c r="I22" i="6"/>
  <c r="H22" i="6"/>
  <c r="D32" i="4"/>
  <c r="H250" i="6" l="1"/>
  <c r="H258" i="6" s="1"/>
  <c r="H260" i="6" s="1"/>
  <c r="O212" i="6"/>
  <c r="I66" i="6"/>
  <c r="O102" i="6"/>
  <c r="O61" i="6" l="1"/>
  <c r="O21" i="6"/>
  <c r="O15" i="10"/>
  <c r="O13" i="10"/>
  <c r="N13" i="10"/>
  <c r="F105" i="14" l="1"/>
  <c r="J23" i="10" s="1"/>
  <c r="I280" i="6" l="1"/>
  <c r="B280" i="6"/>
  <c r="K279" i="6"/>
  <c r="B279" i="6"/>
  <c r="I231" i="6"/>
  <c r="B231" i="6"/>
  <c r="K230" i="6"/>
  <c r="B230" i="6"/>
  <c r="I186" i="6"/>
  <c r="B186" i="6"/>
  <c r="K185" i="6"/>
  <c r="B185" i="6"/>
  <c r="I96" i="6"/>
  <c r="B96" i="6"/>
  <c r="K95" i="6"/>
  <c r="B95" i="6"/>
  <c r="I55" i="6"/>
  <c r="B55" i="6"/>
  <c r="K54" i="6"/>
  <c r="B54" i="6"/>
  <c r="K3" i="6"/>
  <c r="B3" i="6"/>
  <c r="I60" i="11"/>
  <c r="C60" i="11"/>
  <c r="K59" i="11"/>
  <c r="C59" i="11"/>
  <c r="K3" i="11"/>
  <c r="C3" i="11"/>
  <c r="I97" i="14"/>
  <c r="B97" i="14"/>
  <c r="J96" i="14"/>
  <c r="B96" i="14"/>
  <c r="I50" i="14"/>
  <c r="B50" i="14"/>
  <c r="J49" i="14"/>
  <c r="B49" i="14"/>
  <c r="J3" i="14"/>
  <c r="B3" i="14"/>
  <c r="Q150" i="6" l="1"/>
  <c r="P150" i="6"/>
  <c r="O150" i="6"/>
  <c r="Q149" i="6"/>
  <c r="P149" i="6"/>
  <c r="O149" i="6"/>
  <c r="Q148" i="6"/>
  <c r="P148" i="6"/>
  <c r="O148" i="6"/>
  <c r="Q147" i="6"/>
  <c r="P147" i="6"/>
  <c r="O147" i="6"/>
  <c r="R149" i="6" l="1"/>
  <c r="R148" i="6"/>
  <c r="R147" i="6"/>
  <c r="R150" i="6"/>
  <c r="B3" i="12"/>
  <c r="H33" i="14"/>
  <c r="H39" i="14" s="1"/>
  <c r="H57" i="14" l="1"/>
  <c r="H21" i="10" s="1"/>
  <c r="F25" i="4"/>
  <c r="K32" i="10"/>
  <c r="J32" i="10"/>
  <c r="F24" i="4" l="1"/>
  <c r="F23" i="4"/>
  <c r="I4" i="14"/>
  <c r="B4" i="14"/>
  <c r="D30" i="4" l="1"/>
  <c r="D34" i="4" s="1"/>
  <c r="M42" i="10"/>
  <c r="M43" i="10"/>
  <c r="M44" i="10"/>
  <c r="M45" i="10"/>
  <c r="J45" i="10"/>
  <c r="J44" i="10"/>
  <c r="J43" i="10"/>
  <c r="I3" i="12"/>
  <c r="I273" i="6"/>
  <c r="I250" i="6"/>
  <c r="I258" i="6" s="1"/>
  <c r="I260" i="6" s="1"/>
  <c r="P203" i="6"/>
  <c r="O203" i="6"/>
  <c r="P202" i="6"/>
  <c r="O202" i="6"/>
  <c r="P201" i="6"/>
  <c r="O201" i="6"/>
  <c r="P200" i="6"/>
  <c r="O200" i="6"/>
  <c r="N207" i="6"/>
  <c r="Q217" i="6"/>
  <c r="P217" i="6"/>
  <c r="O217" i="6"/>
  <c r="Q216" i="6"/>
  <c r="P216" i="6"/>
  <c r="O216" i="6"/>
  <c r="Q215" i="6"/>
  <c r="P215" i="6"/>
  <c r="O215" i="6"/>
  <c r="Q214" i="6"/>
  <c r="P214" i="6"/>
  <c r="O214" i="6"/>
  <c r="N99" i="6"/>
  <c r="Q218" i="6" l="1"/>
  <c r="Q219" i="6" s="1"/>
  <c r="I262" i="6"/>
  <c r="R215" i="6"/>
  <c r="R214" i="6"/>
  <c r="R217" i="6"/>
  <c r="R216" i="6"/>
  <c r="I123" i="6"/>
  <c r="I131" i="6" s="1"/>
  <c r="I133" i="6" s="1"/>
  <c r="H123" i="6"/>
  <c r="H131" i="6" s="1"/>
  <c r="H133" i="6" s="1"/>
  <c r="Q66" i="6"/>
  <c r="Q65" i="6"/>
  <c r="Q64" i="6"/>
  <c r="Q63" i="6"/>
  <c r="N56" i="6"/>
  <c r="P66" i="6"/>
  <c r="O66" i="6"/>
  <c r="P65" i="6"/>
  <c r="O65" i="6"/>
  <c r="P64" i="6"/>
  <c r="O64" i="6"/>
  <c r="P63" i="6"/>
  <c r="O63" i="6"/>
  <c r="P24" i="6"/>
  <c r="P26" i="6"/>
  <c r="P25" i="6"/>
  <c r="Q24" i="6"/>
  <c r="Q25" i="6"/>
  <c r="Q26" i="6"/>
  <c r="N15" i="6"/>
  <c r="O199" i="6"/>
  <c r="P199" i="6"/>
  <c r="I21" i="6"/>
  <c r="H21" i="6"/>
  <c r="O26" i="6"/>
  <c r="O25" i="6"/>
  <c r="I30" i="6" s="1"/>
  <c r="O24" i="6"/>
  <c r="O23" i="6"/>
  <c r="O28" i="6"/>
  <c r="O18" i="10"/>
  <c r="P210" i="6" s="1"/>
  <c r="O17" i="10"/>
  <c r="P209" i="6" s="1"/>
  <c r="O16" i="10"/>
  <c r="P208" i="6" s="1"/>
  <c r="P207" i="6"/>
  <c r="N18" i="10"/>
  <c r="N17" i="10"/>
  <c r="N16" i="10"/>
  <c r="N15" i="10"/>
  <c r="L3" i="4"/>
  <c r="Q25" i="4"/>
  <c r="I88" i="11"/>
  <c r="I34" i="6" s="1"/>
  <c r="I29" i="6" l="1"/>
  <c r="R24" i="6"/>
  <c r="I31" i="6"/>
  <c r="R26" i="6"/>
  <c r="I28" i="6"/>
  <c r="R23" i="6"/>
  <c r="R25" i="6"/>
  <c r="H40" i="10"/>
  <c r="I264" i="6"/>
  <c r="O198" i="6"/>
  <c r="P198" i="6"/>
  <c r="P204" i="6"/>
  <c r="I135" i="6"/>
  <c r="P59" i="6"/>
  <c r="P19" i="6"/>
  <c r="I293" i="6"/>
  <c r="P15" i="6"/>
  <c r="P56" i="6"/>
  <c r="R64" i="6"/>
  <c r="P17" i="6"/>
  <c r="P58" i="6"/>
  <c r="P16" i="6"/>
  <c r="P57" i="6"/>
  <c r="R66" i="6"/>
  <c r="R65" i="6"/>
  <c r="R63" i="6"/>
  <c r="I68" i="6" l="1"/>
  <c r="H36" i="6"/>
  <c r="P206" i="6"/>
  <c r="I36" i="6"/>
  <c r="O204" i="6"/>
  <c r="O206" i="6" s="1"/>
  <c r="I292" i="6"/>
  <c r="H36" i="10"/>
  <c r="I137" i="6"/>
  <c r="I38" i="6" l="1"/>
  <c r="H34" i="10" s="1"/>
  <c r="I220" i="6"/>
  <c r="I66" i="11"/>
  <c r="H66" i="11"/>
  <c r="O32" i="11"/>
  <c r="P32" i="11" s="1"/>
  <c r="I40" i="6" l="1"/>
  <c r="I290" i="6"/>
  <c r="J42" i="10" l="1"/>
  <c r="K15" i="10"/>
  <c r="G15" i="10"/>
  <c r="K17" i="10"/>
  <c r="H104" i="14"/>
  <c r="F90" i="14"/>
  <c r="E90" i="14"/>
  <c r="H89" i="14"/>
  <c r="B12" i="10"/>
  <c r="J49" i="10"/>
  <c r="G26" i="12"/>
  <c r="M53" i="10" s="1"/>
  <c r="G25" i="12"/>
  <c r="J47" i="10"/>
  <c r="J46" i="10"/>
  <c r="G15" i="12"/>
  <c r="M5" i="10"/>
  <c r="M27" i="4"/>
  <c r="M26" i="4"/>
  <c r="M25" i="4"/>
  <c r="M24" i="4"/>
  <c r="M23" i="4"/>
  <c r="K30" i="4" s="1"/>
  <c r="K34" i="4" s="1"/>
  <c r="F40" i="4"/>
  <c r="F39" i="4"/>
  <c r="F38" i="4"/>
  <c r="F37" i="4"/>
  <c r="I4" i="11"/>
  <c r="B3" i="4"/>
  <c r="H66" i="6"/>
  <c r="H68" i="6" s="1"/>
  <c r="I70" i="6" s="1"/>
  <c r="I214" i="6"/>
  <c r="G10" i="12"/>
  <c r="B4" i="12"/>
  <c r="G4" i="12"/>
  <c r="B4" i="6"/>
  <c r="I4" i="6"/>
  <c r="B4" i="4"/>
  <c r="L4" i="4"/>
  <c r="C4" i="11"/>
  <c r="J48" i="10"/>
  <c r="F12" i="10"/>
  <c r="F26" i="4"/>
  <c r="Q22" i="4"/>
  <c r="D43" i="4" l="1"/>
  <c r="D47" i="4" s="1"/>
  <c r="H32" i="10" s="1"/>
  <c r="H23" i="10"/>
  <c r="J54" i="10"/>
  <c r="M54" i="10"/>
  <c r="I27" i="11"/>
  <c r="I26" i="11"/>
  <c r="I39" i="11" s="1"/>
  <c r="H50" i="10"/>
  <c r="G23" i="12"/>
  <c r="H110" i="6"/>
  <c r="H158" i="6" s="1"/>
  <c r="G24" i="12"/>
  <c r="J53" i="10"/>
  <c r="G17" i="10"/>
  <c r="F27" i="4"/>
  <c r="I110" i="6"/>
  <c r="I158" i="6" s="1"/>
  <c r="H51" i="10"/>
  <c r="I45" i="11" l="1"/>
  <c r="H45" i="11"/>
  <c r="H39" i="11"/>
  <c r="I41" i="11" s="1"/>
  <c r="I160" i="6"/>
  <c r="G28" i="12"/>
  <c r="H53" i="10" s="1"/>
  <c r="I72" i="6"/>
  <c r="I303" i="6"/>
  <c r="H41" i="10"/>
  <c r="I306" i="6"/>
  <c r="I275" i="6"/>
  <c r="H28" i="10"/>
  <c r="H25" i="10"/>
  <c r="J26" i="10" s="1"/>
  <c r="I47" i="11" l="1"/>
  <c r="I49" i="11" s="1"/>
  <c r="I43" i="11"/>
  <c r="I213" i="6"/>
  <c r="H35" i="10"/>
  <c r="K26" i="10"/>
  <c r="J25" i="10"/>
  <c r="I25" i="10"/>
  <c r="J27" i="10"/>
  <c r="I28" i="10"/>
  <c r="J29" i="10"/>
  <c r="J28" i="10"/>
  <c r="K29" i="10"/>
  <c r="I219" i="6" l="1"/>
  <c r="I63" i="11"/>
  <c r="H31" i="10" s="1"/>
  <c r="I305" i="6"/>
  <c r="I162" i="6"/>
  <c r="H37" i="10"/>
  <c r="I225" i="6" l="1"/>
  <c r="I304" i="6" s="1"/>
  <c r="I222" i="6"/>
  <c r="H39" i="10" l="1"/>
  <c r="I291" i="6"/>
  <c r="I299" i="6" s="1"/>
  <c r="H42" i="10" s="1"/>
  <c r="H38" i="10"/>
  <c r="I308" i="6"/>
  <c r="H46" i="10" s="1"/>
</calcChain>
</file>

<file path=xl/sharedStrings.xml><?xml version="1.0" encoding="utf-8"?>
<sst xmlns="http://schemas.openxmlformats.org/spreadsheetml/2006/main" count="963" uniqueCount="534">
  <si>
    <t>型　　式</t>
    <rPh sb="0" eb="1">
      <t>カタ</t>
    </rPh>
    <rPh sb="3" eb="4">
      <t>シキ</t>
    </rPh>
    <phoneticPr fontId="3"/>
  </si>
  <si>
    <t>製造者名</t>
    <rPh sb="0" eb="2">
      <t>セイゾウ</t>
    </rPh>
    <rPh sb="2" eb="3">
      <t>シャ</t>
    </rPh>
    <rPh sb="3" eb="4">
      <t>メイ</t>
    </rPh>
    <phoneticPr fontId="3"/>
  </si>
  <si>
    <t>試験場所</t>
    <rPh sb="0" eb="2">
      <t>シケン</t>
    </rPh>
    <rPh sb="2" eb="4">
      <t>バショ</t>
    </rPh>
    <phoneticPr fontId="3"/>
  </si>
  <si>
    <t>測定器</t>
    <rPh sb="0" eb="2">
      <t>ソクテイ</t>
    </rPh>
    <rPh sb="2" eb="3">
      <t>ウツワ</t>
    </rPh>
    <phoneticPr fontId="3"/>
  </si>
  <si>
    <t>（Ｄ）　　×</t>
    <phoneticPr fontId="3"/>
  </si>
  <si>
    <t>（Ｈ）　</t>
    <phoneticPr fontId="3"/>
  </si>
  <si>
    <t>電　　源</t>
    <rPh sb="0" eb="1">
      <t>デン</t>
    </rPh>
    <rPh sb="3" eb="4">
      <t>ミナモト</t>
    </rPh>
    <phoneticPr fontId="3"/>
  </si>
  <si>
    <t>機器の
主な仕様</t>
    <rPh sb="0" eb="2">
      <t>キキ</t>
    </rPh>
    <rPh sb="4" eb="5">
      <t>オモ</t>
    </rPh>
    <rPh sb="6" eb="8">
      <t>シヨウ</t>
    </rPh>
    <phoneticPr fontId="3"/>
  </si>
  <si>
    <t>担当部署</t>
    <rPh sb="0" eb="2">
      <t>タントウ</t>
    </rPh>
    <rPh sb="2" eb="4">
      <t>ブショ</t>
    </rPh>
    <phoneticPr fontId="3"/>
  </si>
  <si>
    <t>定格消費電力</t>
    <rPh sb="0" eb="2">
      <t>テイカク</t>
    </rPh>
    <rPh sb="2" eb="4">
      <t>ショウヒ</t>
    </rPh>
    <rPh sb="4" eb="6">
      <t>デンリョク</t>
    </rPh>
    <phoneticPr fontId="3"/>
  </si>
  <si>
    <t>①立上り時</t>
    <rPh sb="1" eb="2">
      <t>タ</t>
    </rPh>
    <rPh sb="2" eb="3">
      <t>ア</t>
    </rPh>
    <rPh sb="4" eb="5">
      <t>ジ</t>
    </rPh>
    <phoneticPr fontId="3"/>
  </si>
  <si>
    <t>(kWh)</t>
    <phoneticPr fontId="3"/>
  </si>
  <si>
    <t>(kWh/日)</t>
    <rPh sb="5" eb="6">
      <t>ニチ</t>
    </rPh>
    <phoneticPr fontId="3"/>
  </si>
  <si>
    <t>(ℓ/回)</t>
    <rPh sb="3" eb="4">
      <t>カイ</t>
    </rPh>
    <phoneticPr fontId="3"/>
  </si>
  <si>
    <t>（小数点以下２位）</t>
    <rPh sb="1" eb="4">
      <t>ショウスウテン</t>
    </rPh>
    <rPh sb="4" eb="6">
      <t>イカ</t>
    </rPh>
    <rPh sb="7" eb="8">
      <t>イ</t>
    </rPh>
    <phoneticPr fontId="3"/>
  </si>
  <si>
    <t>(kWh/h)</t>
    <phoneticPr fontId="3"/>
  </si>
  <si>
    <t>（小数点以下1位）</t>
    <rPh sb="1" eb="4">
      <t>ショウスウテン</t>
    </rPh>
    <rPh sb="4" eb="6">
      <t>イカ</t>
    </rPh>
    <rPh sb="7" eb="8">
      <t>イ</t>
    </rPh>
    <phoneticPr fontId="3"/>
  </si>
  <si>
    <t>（ℓ/h）</t>
  </si>
  <si>
    <t>（ℓ/日）</t>
    <rPh sb="3" eb="4">
      <t>ヒ</t>
    </rPh>
    <phoneticPr fontId="3"/>
  </si>
  <si>
    <t>(ℓ/日)</t>
    <rPh sb="3" eb="4">
      <t>ヒ</t>
    </rPh>
    <phoneticPr fontId="3"/>
  </si>
  <si>
    <t>（小数点以下2位）</t>
    <rPh sb="1" eb="4">
      <t>ショウスウテン</t>
    </rPh>
    <rPh sb="4" eb="6">
      <t>イカ</t>
    </rPh>
    <rPh sb="7" eb="8">
      <t>イ</t>
    </rPh>
    <phoneticPr fontId="3"/>
  </si>
  <si>
    <t>(min)</t>
    <phoneticPr fontId="3"/>
  </si>
  <si>
    <t>(ℓ/h)</t>
    <phoneticPr fontId="3"/>
  </si>
  <si>
    <t>（kW）</t>
    <phoneticPr fontId="3"/>
  </si>
  <si>
    <t>(回/日)</t>
    <rPh sb="1" eb="2">
      <t>カイ</t>
    </rPh>
    <rPh sb="3" eb="4">
      <t>ヒ</t>
    </rPh>
    <phoneticPr fontId="3"/>
  </si>
  <si>
    <t>(℃）</t>
    <phoneticPr fontId="3"/>
  </si>
  <si>
    <t>品　　目</t>
    <rPh sb="0" eb="1">
      <t>シナ</t>
    </rPh>
    <rPh sb="3" eb="4">
      <t>メ</t>
    </rPh>
    <phoneticPr fontId="3"/>
  </si>
  <si>
    <t>名　　称</t>
    <rPh sb="0" eb="1">
      <t>ナ</t>
    </rPh>
    <rPh sb="3" eb="4">
      <t>ショウ</t>
    </rPh>
    <phoneticPr fontId="3"/>
  </si>
  <si>
    <t>湿度(%)</t>
    <rPh sb="0" eb="1">
      <t>シツ</t>
    </rPh>
    <rPh sb="1" eb="2">
      <t>タビ</t>
    </rPh>
    <phoneticPr fontId="3"/>
  </si>
  <si>
    <t>作成日</t>
    <phoneticPr fontId="3"/>
  </si>
  <si>
    <t>試験期間</t>
    <rPh sb="0" eb="2">
      <t>シケン</t>
    </rPh>
    <phoneticPr fontId="3"/>
  </si>
  <si>
    <t>～</t>
    <phoneticPr fontId="3"/>
  </si>
  <si>
    <t>1回目</t>
    <rPh sb="1" eb="3">
      <t>カイメ</t>
    </rPh>
    <phoneticPr fontId="3"/>
  </si>
  <si>
    <t>試験日</t>
    <rPh sb="0" eb="3">
      <t>シケンビ</t>
    </rPh>
    <phoneticPr fontId="3"/>
  </si>
  <si>
    <t>2回目</t>
    <rPh sb="1" eb="3">
      <t>カイメ</t>
    </rPh>
    <phoneticPr fontId="3"/>
  </si>
  <si>
    <t>（Ｗ）　　×</t>
    <phoneticPr fontId="3"/>
  </si>
  <si>
    <t>重量(kg)</t>
    <rPh sb="0" eb="2">
      <t>ジュウリョウ</t>
    </rPh>
    <phoneticPr fontId="3"/>
  </si>
  <si>
    <t>(枚/h)</t>
    <phoneticPr fontId="3"/>
  </si>
  <si>
    <t>室温(℃)</t>
    <phoneticPr fontId="3"/>
  </si>
  <si>
    <t>（小数点以下3位）</t>
    <rPh sb="1" eb="4">
      <t>ショウスウテン</t>
    </rPh>
    <rPh sb="4" eb="6">
      <t>イカ</t>
    </rPh>
    <rPh sb="7" eb="8">
      <t>イ</t>
    </rPh>
    <phoneticPr fontId="3"/>
  </si>
  <si>
    <t>(kWh/h)</t>
    <phoneticPr fontId="3"/>
  </si>
  <si>
    <t>(kJ/kg℃)</t>
    <phoneticPr fontId="3"/>
  </si>
  <si>
    <t>②試験食器なし処理時</t>
    <rPh sb="7" eb="9">
      <t>ショリ</t>
    </rPh>
    <rPh sb="9" eb="10">
      <t>ジ</t>
    </rPh>
    <phoneticPr fontId="3"/>
  </si>
  <si>
    <t>④待機時</t>
    <rPh sb="1" eb="3">
      <t>タイキ</t>
    </rPh>
    <rPh sb="3" eb="4">
      <t>ジ</t>
    </rPh>
    <phoneticPr fontId="3"/>
  </si>
  <si>
    <t>(ℓ/回)</t>
    <phoneticPr fontId="3"/>
  </si>
  <si>
    <t>(kWh/日)</t>
    <rPh sb="5" eb="6">
      <t>ヒ</t>
    </rPh>
    <phoneticPr fontId="3"/>
  </si>
  <si>
    <t>（kWh/回）</t>
    <rPh sb="5" eb="6">
      <t>カイ</t>
    </rPh>
    <phoneticPr fontId="3"/>
  </si>
  <si>
    <t>(h/日）</t>
    <phoneticPr fontId="3"/>
  </si>
  <si>
    <t>（ｈ/日）</t>
    <rPh sb="3" eb="4">
      <t>ヒ</t>
    </rPh>
    <phoneticPr fontId="3"/>
  </si>
  <si>
    <t>(min)</t>
    <phoneticPr fontId="3"/>
  </si>
  <si>
    <t>③処理時</t>
    <phoneticPr fontId="3"/>
  </si>
  <si>
    <t>(kJ/kg℃)</t>
    <phoneticPr fontId="3"/>
  </si>
  <si>
    <t>③循環すすぎタンクの立上り性能</t>
    <rPh sb="1" eb="3">
      <t>ジュンカン</t>
    </rPh>
    <rPh sb="10" eb="11">
      <t>タ</t>
    </rPh>
    <rPh sb="11" eb="12">
      <t>ア</t>
    </rPh>
    <rPh sb="13" eb="15">
      <t>セイノウ</t>
    </rPh>
    <phoneticPr fontId="3"/>
  </si>
  <si>
    <t>④仕上げすすぎタンクの立上り性能</t>
    <rPh sb="1" eb="3">
      <t>シア</t>
    </rPh>
    <rPh sb="11" eb="12">
      <t>タ</t>
    </rPh>
    <rPh sb="12" eb="13">
      <t>ア</t>
    </rPh>
    <rPh sb="14" eb="16">
      <t>セイノウ</t>
    </rPh>
    <phoneticPr fontId="3"/>
  </si>
  <si>
    <t>気圧
(hPa)</t>
    <rPh sb="0" eb="1">
      <t>キ</t>
    </rPh>
    <rPh sb="1" eb="2">
      <t>アツ</t>
    </rPh>
    <phoneticPr fontId="3"/>
  </si>
  <si>
    <t>(min)</t>
    <phoneticPr fontId="3"/>
  </si>
  <si>
    <t>(枚/m)</t>
    <phoneticPr fontId="3"/>
  </si>
  <si>
    <t>（m/min）</t>
    <phoneticPr fontId="3"/>
  </si>
  <si>
    <t>誤差</t>
    <rPh sb="0" eb="2">
      <t>ゴサ</t>
    </rPh>
    <phoneticPr fontId="3"/>
  </si>
  <si>
    <t>標準コンベア速度</t>
    <rPh sb="0" eb="2">
      <t>ヒョウジュン</t>
    </rPh>
    <phoneticPr fontId="3"/>
  </si>
  <si>
    <t>有効コンベア幅(mm)</t>
    <rPh sb="0" eb="2">
      <t>ユウコウ</t>
    </rPh>
    <rPh sb="6" eb="7">
      <t>ハバ</t>
    </rPh>
    <phoneticPr fontId="3"/>
  </si>
  <si>
    <t>（整数）</t>
    <rPh sb="1" eb="3">
      <t>セイスウ</t>
    </rPh>
    <phoneticPr fontId="3"/>
  </si>
  <si>
    <t>試験食器の直径(mm)</t>
    <rPh sb="0" eb="2">
      <t>シケン</t>
    </rPh>
    <rPh sb="2" eb="4">
      <t>ショッキ</t>
    </rPh>
    <rPh sb="5" eb="7">
      <t>チョッケイ</t>
    </rPh>
    <phoneticPr fontId="3"/>
  </si>
  <si>
    <t>1ラックあたりの試験食器の収納数(枚)</t>
    <rPh sb="17" eb="18">
      <t>マイ</t>
    </rPh>
    <phoneticPr fontId="3"/>
  </si>
  <si>
    <t>②処理時</t>
    <rPh sb="1" eb="3">
      <t>ショリ</t>
    </rPh>
    <rPh sb="3" eb="4">
      <t>ジ</t>
    </rPh>
    <phoneticPr fontId="3"/>
  </si>
  <si>
    <t>(枚/h )</t>
    <rPh sb="1" eb="2">
      <t>マイ</t>
    </rPh>
    <phoneticPr fontId="3"/>
  </si>
  <si>
    <t>(kWｈ/h)</t>
    <phoneticPr fontId="3"/>
  </si>
  <si>
    <t>（ℓ/h)</t>
    <phoneticPr fontId="3"/>
  </si>
  <si>
    <t>（ℓ）</t>
    <phoneticPr fontId="3"/>
  </si>
  <si>
    <t>特に規定しない。</t>
    <rPh sb="0" eb="1">
      <t>トク</t>
    </rPh>
    <rPh sb="2" eb="4">
      <t>キテイ</t>
    </rPh>
    <phoneticPr fontId="3"/>
  </si>
  <si>
    <t>(kWh/回)</t>
    <rPh sb="5" eb="6">
      <t>カイ</t>
    </rPh>
    <phoneticPr fontId="3"/>
  </si>
  <si>
    <t>(min)</t>
    <phoneticPr fontId="3"/>
  </si>
  <si>
    <t>(kg/枚)</t>
    <rPh sb="4" eb="5">
      <t>マイ</t>
    </rPh>
    <phoneticPr fontId="3"/>
  </si>
  <si>
    <r>
      <t xml:space="preserve"> θ</t>
    </r>
    <r>
      <rPr>
        <vertAlign val="subscript"/>
        <sz val="10"/>
        <rFont val="Century"/>
        <family val="1"/>
      </rPr>
      <t>h</t>
    </r>
    <r>
      <rPr>
        <i/>
        <sz val="10"/>
        <rFont val="ＭＳ Ｐゴシック"/>
        <family val="3"/>
        <charset val="128"/>
      </rPr>
      <t xml:space="preserve"> </t>
    </r>
    <r>
      <rPr>
        <sz val="10"/>
        <rFont val="ＭＳ Ｐゴシック"/>
        <family val="3"/>
        <charset val="128"/>
      </rPr>
      <t xml:space="preserve">= </t>
    </r>
    <phoneticPr fontId="3"/>
  </si>
  <si>
    <r>
      <t xml:space="preserve"> θ</t>
    </r>
    <r>
      <rPr>
        <vertAlign val="subscript"/>
        <sz val="10"/>
        <rFont val="Century"/>
        <family val="1"/>
      </rPr>
      <t>s</t>
    </r>
    <r>
      <rPr>
        <sz val="10"/>
        <rFont val="ＭＳ Ｐゴシック"/>
        <family val="3"/>
        <charset val="128"/>
      </rPr>
      <t xml:space="preserve"> = </t>
    </r>
    <phoneticPr fontId="3"/>
  </si>
  <si>
    <t>①立上り時</t>
    <rPh sb="1" eb="3">
      <t>タチアガ</t>
    </rPh>
    <rPh sb="4" eb="5">
      <t>ジ</t>
    </rPh>
    <phoneticPr fontId="3"/>
  </si>
  <si>
    <t>②試験食器なし処理時</t>
    <rPh sb="1" eb="3">
      <t>シケン</t>
    </rPh>
    <rPh sb="3" eb="5">
      <t>ショッキ</t>
    </rPh>
    <rPh sb="7" eb="9">
      <t>ショリ</t>
    </rPh>
    <rPh sb="9" eb="10">
      <t>ジ</t>
    </rPh>
    <phoneticPr fontId="3"/>
  </si>
  <si>
    <t>③処理時</t>
    <rPh sb="1" eb="3">
      <t>ショリ</t>
    </rPh>
    <rPh sb="3" eb="4">
      <t>ジ</t>
    </rPh>
    <phoneticPr fontId="3"/>
  </si>
  <si>
    <t>④待機時</t>
    <rPh sb="1" eb="3">
      <t>タイキ</t>
    </rPh>
    <rPh sb="3" eb="4">
      <t>トキ</t>
    </rPh>
    <phoneticPr fontId="3"/>
  </si>
  <si>
    <t>（ℓ/回）</t>
    <rPh sb="3" eb="4">
      <t>カイ</t>
    </rPh>
    <phoneticPr fontId="3"/>
  </si>
  <si>
    <t>規定なし</t>
    <rPh sb="0" eb="2">
      <t>キテイ</t>
    </rPh>
    <phoneticPr fontId="3"/>
  </si>
  <si>
    <t>③待機時</t>
    <rPh sb="1" eb="3">
      <t>タイキ</t>
    </rPh>
    <rPh sb="3" eb="4">
      <t>ジ</t>
    </rPh>
    <phoneticPr fontId="3"/>
  </si>
  <si>
    <t>処理時間を想定した日あたり消費電力量を計算する。</t>
    <rPh sb="0" eb="2">
      <t>ショリ</t>
    </rPh>
    <rPh sb="2" eb="4">
      <t>ジカン</t>
    </rPh>
    <rPh sb="5" eb="7">
      <t>ソウテイ</t>
    </rPh>
    <rPh sb="9" eb="10">
      <t>ヒ</t>
    </rPh>
    <rPh sb="13" eb="15">
      <t>ショウヒ</t>
    </rPh>
    <rPh sb="15" eb="17">
      <t>デンリョク</t>
    </rPh>
    <rPh sb="17" eb="18">
      <t>リョウ</t>
    </rPh>
    <rPh sb="19" eb="21">
      <t>ケイサン</t>
    </rPh>
    <phoneticPr fontId="3"/>
  </si>
  <si>
    <t>（回/日）</t>
    <phoneticPr fontId="3"/>
  </si>
  <si>
    <t>ポイント等</t>
  </si>
  <si>
    <t>仕上げすすぎタンクの
有/無</t>
    <rPh sb="11" eb="12">
      <t>ア</t>
    </rPh>
    <rPh sb="13" eb="14">
      <t>ム</t>
    </rPh>
    <phoneticPr fontId="3"/>
  </si>
  <si>
    <t>外形寸法(mm)</t>
    <rPh sb="0" eb="2">
      <t>ガイケイ</t>
    </rPh>
    <rPh sb="2" eb="4">
      <t>スンポウ</t>
    </rPh>
    <phoneticPr fontId="3"/>
  </si>
  <si>
    <t>コンベア進行方向のラック長さ(mm)</t>
    <rPh sb="4" eb="6">
      <t>シンコウ</t>
    </rPh>
    <rPh sb="6" eb="8">
      <t>ホウコウ</t>
    </rPh>
    <rPh sb="12" eb="13">
      <t>ナガ</t>
    </rPh>
    <phoneticPr fontId="3"/>
  </si>
  <si>
    <t>①予備洗浄タンクの立上り性能</t>
    <rPh sb="1" eb="3">
      <t>ヨビ</t>
    </rPh>
    <rPh sb="3" eb="5">
      <t>センジョウ</t>
    </rPh>
    <rPh sb="9" eb="10">
      <t>タ</t>
    </rPh>
    <rPh sb="10" eb="11">
      <t>ア</t>
    </rPh>
    <rPh sb="12" eb="14">
      <t>セイノウ</t>
    </rPh>
    <phoneticPr fontId="3"/>
  </si>
  <si>
    <t>②洗浄タンクの立上り性能</t>
    <rPh sb="1" eb="3">
      <t>センジョウ</t>
    </rPh>
    <rPh sb="7" eb="8">
      <t>タ</t>
    </rPh>
    <rPh sb="8" eb="9">
      <t>ア</t>
    </rPh>
    <rPh sb="10" eb="12">
      <t>セイノウ</t>
    </rPh>
    <phoneticPr fontId="3"/>
  </si>
  <si>
    <t>　　　　　ただし、冷水仕上げすすぎ方式の試験機器の場合には、30 ℃とする。</t>
    <phoneticPr fontId="3"/>
  </si>
  <si>
    <t>(kW)</t>
    <phoneticPr fontId="3"/>
  </si>
  <si>
    <t>2.熱効率</t>
    <rPh sb="2" eb="3">
      <t>ネツ</t>
    </rPh>
    <rPh sb="3" eb="5">
      <t>コウリツ</t>
    </rPh>
    <phoneticPr fontId="3"/>
  </si>
  <si>
    <t>3.立上り性能</t>
    <phoneticPr fontId="3"/>
  </si>
  <si>
    <t>4.処理能力</t>
    <phoneticPr fontId="3"/>
  </si>
  <si>
    <t>気圧(hPa)</t>
    <rPh sb="0" eb="1">
      <t>キ</t>
    </rPh>
    <rPh sb="1" eb="2">
      <t>アツ</t>
    </rPh>
    <phoneticPr fontId="3"/>
  </si>
  <si>
    <t>最大消費電力測定グラフ</t>
    <rPh sb="0" eb="2">
      <t>サイダイ</t>
    </rPh>
    <rPh sb="2" eb="4">
      <t>ショウヒ</t>
    </rPh>
    <rPh sb="4" eb="6">
      <t>デンリョク</t>
    </rPh>
    <rPh sb="6" eb="8">
      <t>ソクテイ</t>
    </rPh>
    <phoneticPr fontId="3"/>
  </si>
  <si>
    <t>消費電力の許容差</t>
    <rPh sb="0" eb="2">
      <t>ショウヒ</t>
    </rPh>
    <rPh sb="2" eb="4">
      <t>デンリョク</t>
    </rPh>
    <rPh sb="5" eb="7">
      <t>キョヨウ</t>
    </rPh>
    <rPh sb="7" eb="8">
      <t>サ</t>
    </rPh>
    <phoneticPr fontId="3"/>
  </si>
  <si>
    <t>フラットコンベア洗浄機</t>
    <rPh sb="8" eb="11">
      <t>センジョウキ</t>
    </rPh>
    <phoneticPr fontId="3"/>
  </si>
  <si>
    <t>フライトコンベア洗浄機</t>
    <rPh sb="8" eb="11">
      <t>センジョウキ</t>
    </rPh>
    <phoneticPr fontId="3"/>
  </si>
  <si>
    <t>ラックコンベア洗浄機</t>
    <rPh sb="7" eb="10">
      <t>センジョウキ</t>
    </rPh>
    <phoneticPr fontId="3"/>
  </si>
  <si>
    <t>立爪の間隔(mm)</t>
    <rPh sb="0" eb="1">
      <t>タ</t>
    </rPh>
    <rPh sb="1" eb="2">
      <t>ツメ</t>
    </rPh>
    <rPh sb="3" eb="5">
      <t>カンカク</t>
    </rPh>
    <phoneticPr fontId="3"/>
  </si>
  <si>
    <t>リスト</t>
    <phoneticPr fontId="3"/>
  </si>
  <si>
    <t>タンクの種類</t>
    <phoneticPr fontId="3"/>
  </si>
  <si>
    <t>立上り性能は①、②、③、④の最大値になる。</t>
    <rPh sb="14" eb="17">
      <t>サイダイチ</t>
    </rPh>
    <phoneticPr fontId="3"/>
  </si>
  <si>
    <t>　　　　　前に30 ℃であった試験食器が仕上げすすぎ後に75 ℃になる状況を想定している。）</t>
    <phoneticPr fontId="3"/>
  </si>
  <si>
    <t>500mm×500mm</t>
    <phoneticPr fontId="3"/>
  </si>
  <si>
    <t>専用食器籠</t>
    <rPh sb="0" eb="2">
      <t>センヨウ</t>
    </rPh>
    <rPh sb="2" eb="4">
      <t>ショッキ</t>
    </rPh>
    <rPh sb="4" eb="5">
      <t>カゴ</t>
    </rPh>
    <phoneticPr fontId="3"/>
  </si>
  <si>
    <t>ラックコンベア洗浄機、フライトコンベア洗浄機、フラットコンベア洗浄機(選択してください)</t>
  </si>
  <si>
    <t>ラックコンベア洗浄機</t>
    <phoneticPr fontId="3"/>
  </si>
  <si>
    <t>フライトコンベア洗浄機</t>
  </si>
  <si>
    <t>フラットコンベア洗浄機</t>
  </si>
  <si>
    <t>仕上げすすぎの方式</t>
    <rPh sb="7" eb="9">
      <t>ホウシキ</t>
    </rPh>
    <phoneticPr fontId="3"/>
  </si>
  <si>
    <t>試験機器の電動機の最大消費電力 =</t>
    <rPh sb="0" eb="2">
      <t>シケン</t>
    </rPh>
    <rPh sb="2" eb="4">
      <t>キキ</t>
    </rPh>
    <rPh sb="5" eb="8">
      <t>デンドウキ</t>
    </rPh>
    <rPh sb="9" eb="11">
      <t>サイダイ</t>
    </rPh>
    <rPh sb="11" eb="13">
      <t>ショウヒ</t>
    </rPh>
    <rPh sb="13" eb="15">
      <t>デンリョク</t>
    </rPh>
    <phoneticPr fontId="3"/>
  </si>
  <si>
    <t>(kW)</t>
    <phoneticPr fontId="3"/>
  </si>
  <si>
    <t>電動機の定格消費電力 =</t>
    <rPh sb="0" eb="3">
      <t>デンドウキ</t>
    </rPh>
    <phoneticPr fontId="3"/>
  </si>
  <si>
    <t>測定時の定格周波数 =</t>
    <rPh sb="0" eb="2">
      <t>ソクテイ</t>
    </rPh>
    <rPh sb="2" eb="3">
      <t>ジ</t>
    </rPh>
    <rPh sb="4" eb="6">
      <t>テイカク</t>
    </rPh>
    <rPh sb="6" eb="9">
      <t>シュウハスウ</t>
    </rPh>
    <phoneticPr fontId="3"/>
  </si>
  <si>
    <t>(Hz)</t>
    <phoneticPr fontId="3"/>
  </si>
  <si>
    <t>(%)</t>
    <phoneticPr fontId="3"/>
  </si>
  <si>
    <t>試験機器の電熱装置の最大消費電力 =</t>
    <rPh sb="0" eb="2">
      <t>シケン</t>
    </rPh>
    <rPh sb="2" eb="4">
      <t>キキ</t>
    </rPh>
    <rPh sb="5" eb="7">
      <t>デンネツ</t>
    </rPh>
    <rPh sb="7" eb="9">
      <t>ソウチ</t>
    </rPh>
    <rPh sb="10" eb="12">
      <t>サイダイ</t>
    </rPh>
    <rPh sb="12" eb="14">
      <t>ショウヒ</t>
    </rPh>
    <rPh sb="14" eb="16">
      <t>デンリョク</t>
    </rPh>
    <phoneticPr fontId="3"/>
  </si>
  <si>
    <t>電熱装置の定格消費電力 =</t>
    <rPh sb="0" eb="2">
      <t>デンネツ</t>
    </rPh>
    <rPh sb="2" eb="4">
      <t>ソウチ</t>
    </rPh>
    <phoneticPr fontId="3"/>
  </si>
  <si>
    <t>電熱装置</t>
    <phoneticPr fontId="3"/>
  </si>
  <si>
    <t>電動機</t>
    <phoneticPr fontId="3"/>
  </si>
  <si>
    <t>処理水接続仕様</t>
    <rPh sb="0" eb="2">
      <t>ショリ</t>
    </rPh>
    <rPh sb="2" eb="3">
      <t>スイ</t>
    </rPh>
    <rPh sb="3" eb="5">
      <t>セツゾク</t>
    </rPh>
    <rPh sb="5" eb="7">
      <t>シヨウ</t>
    </rPh>
    <phoneticPr fontId="3"/>
  </si>
  <si>
    <t>1.定格エネルギー消費量</t>
    <rPh sb="2" eb="4">
      <t>テイカク</t>
    </rPh>
    <rPh sb="9" eb="12">
      <t>ショウヒリョウ</t>
    </rPh>
    <phoneticPr fontId="3"/>
  </si>
  <si>
    <t>定格エネルギー消費量(ガス）</t>
    <rPh sb="0" eb="2">
      <t>テイカク</t>
    </rPh>
    <rPh sb="7" eb="9">
      <t>ショウヒ</t>
    </rPh>
    <phoneticPr fontId="3"/>
  </si>
  <si>
    <t>(s)</t>
    <phoneticPr fontId="3"/>
  </si>
  <si>
    <r>
      <t>（ｋJ/m</t>
    </r>
    <r>
      <rPr>
        <vertAlign val="superscript"/>
        <sz val="9"/>
        <rFont val="ＭＳ Ｐゴシック"/>
        <family val="3"/>
        <charset val="128"/>
      </rPr>
      <t>3</t>
    </r>
    <r>
      <rPr>
        <sz val="9"/>
        <rFont val="ＭＳ Ｐゴシック"/>
        <family val="3"/>
        <charset val="128"/>
      </rPr>
      <t>N)</t>
    </r>
    <phoneticPr fontId="3"/>
  </si>
  <si>
    <t>（℃）</t>
    <phoneticPr fontId="3"/>
  </si>
  <si>
    <t>（kPa）</t>
    <phoneticPr fontId="3"/>
  </si>
  <si>
    <t>(kW)</t>
    <phoneticPr fontId="3"/>
  </si>
  <si>
    <t>(%)</t>
    <phoneticPr fontId="3"/>
  </si>
  <si>
    <t>ガス種</t>
    <rPh sb="2" eb="3">
      <t>シュ</t>
    </rPh>
    <phoneticPr fontId="3"/>
  </si>
  <si>
    <t>(m/min)</t>
    <phoneticPr fontId="3"/>
  </si>
  <si>
    <t>処理時給湯量</t>
    <phoneticPr fontId="3"/>
  </si>
  <si>
    <t>予備洗浄タンク：貯湯量Wp(L)</t>
    <rPh sb="0" eb="2">
      <t>ヨビ</t>
    </rPh>
    <rPh sb="2" eb="4">
      <t>センジョウ</t>
    </rPh>
    <rPh sb="8" eb="10">
      <t>チョトウ</t>
    </rPh>
    <rPh sb="10" eb="11">
      <t>リョウ</t>
    </rPh>
    <phoneticPr fontId="3"/>
  </si>
  <si>
    <t>洗浄タンク：貯湯量Wｆ(L)</t>
    <rPh sb="0" eb="2">
      <t>センジョウ</t>
    </rPh>
    <rPh sb="6" eb="8">
      <t>チョトウ</t>
    </rPh>
    <rPh sb="8" eb="9">
      <t>リョウ</t>
    </rPh>
    <phoneticPr fontId="3"/>
  </si>
  <si>
    <t>循環すすぎタンク：貯湯量Wm(L)</t>
    <rPh sb="0" eb="2">
      <t>ジュンカン</t>
    </rPh>
    <rPh sb="9" eb="11">
      <t>チョトウ</t>
    </rPh>
    <rPh sb="11" eb="12">
      <t>リョウ</t>
    </rPh>
    <phoneticPr fontId="3"/>
  </si>
  <si>
    <t>仕上げすすぎタンク：貯湯量Wr(L)</t>
    <rPh sb="0" eb="2">
      <t>シア</t>
    </rPh>
    <rPh sb="10" eb="12">
      <t>チョトウ</t>
    </rPh>
    <rPh sb="12" eb="13">
      <t>リョウ</t>
    </rPh>
    <phoneticPr fontId="3"/>
  </si>
  <si>
    <t>立上り性能</t>
    <rPh sb="0" eb="2">
      <t>タチアガ</t>
    </rPh>
    <rPh sb="3" eb="5">
      <t>セイノウ</t>
    </rPh>
    <phoneticPr fontId="3"/>
  </si>
  <si>
    <t>標準水温℃</t>
    <rPh sb="0" eb="2">
      <t>ヒョウジュン</t>
    </rPh>
    <rPh sb="2" eb="4">
      <t>スイオン</t>
    </rPh>
    <phoneticPr fontId="3"/>
  </si>
  <si>
    <t>標準水温（水温補正用）：℃</t>
    <rPh sb="0" eb="2">
      <t>ヒョウジュン</t>
    </rPh>
    <rPh sb="2" eb="4">
      <t>スイオン</t>
    </rPh>
    <rPh sb="5" eb="7">
      <t>スイオン</t>
    </rPh>
    <rPh sb="7" eb="9">
      <t>ホセイ</t>
    </rPh>
    <rPh sb="9" eb="10">
      <t>ヨウ</t>
    </rPh>
    <phoneticPr fontId="3"/>
  </si>
  <si>
    <t>立上り時</t>
    <phoneticPr fontId="3"/>
  </si>
  <si>
    <t>処理時</t>
    <rPh sb="0" eb="2">
      <t>ショリ</t>
    </rPh>
    <phoneticPr fontId="3"/>
  </si>
  <si>
    <t>(s)</t>
    <phoneticPr fontId="3"/>
  </si>
  <si>
    <t>（℃）</t>
    <phoneticPr fontId="3"/>
  </si>
  <si>
    <t>（kPa）</t>
    <phoneticPr fontId="3"/>
  </si>
  <si>
    <t>（kPa）</t>
    <phoneticPr fontId="3"/>
  </si>
  <si>
    <t>給水接続</t>
    <rPh sb="0" eb="2">
      <t>キュウスイ</t>
    </rPh>
    <rPh sb="2" eb="4">
      <t>セツゾク</t>
    </rPh>
    <phoneticPr fontId="3"/>
  </si>
  <si>
    <t>1回目</t>
    <rPh sb="1" eb="3">
      <t>カイメ</t>
    </rPh>
    <phoneticPr fontId="3"/>
  </si>
  <si>
    <t>2回目</t>
    <rPh sb="1" eb="3">
      <t>カイメ</t>
    </rPh>
    <phoneticPr fontId="3"/>
  </si>
  <si>
    <t>　　　冷水仕上げすすぎ方式の試験機器の場合には、20 ℃とみなす。</t>
    <phoneticPr fontId="3"/>
  </si>
  <si>
    <r>
      <t xml:space="preserve"> θ</t>
    </r>
    <r>
      <rPr>
        <i/>
        <vertAlign val="subscript"/>
        <sz val="10"/>
        <rFont val="Century"/>
        <family val="1"/>
      </rPr>
      <t>fp</t>
    </r>
    <r>
      <rPr>
        <i/>
        <sz val="10"/>
        <rFont val="ＭＳ Ｐゴシック"/>
        <family val="3"/>
        <charset val="128"/>
      </rPr>
      <t xml:space="preserve"> </t>
    </r>
    <r>
      <rPr>
        <sz val="10"/>
        <rFont val="ＭＳ Ｐゴシック"/>
        <family val="3"/>
        <charset val="128"/>
      </rPr>
      <t xml:space="preserve">= </t>
    </r>
    <phoneticPr fontId="3"/>
  </si>
  <si>
    <r>
      <t xml:space="preserve"> θ</t>
    </r>
    <r>
      <rPr>
        <i/>
        <vertAlign val="subscript"/>
        <sz val="10"/>
        <rFont val="Century"/>
        <family val="1"/>
      </rPr>
      <t>ff</t>
    </r>
    <r>
      <rPr>
        <i/>
        <sz val="10"/>
        <rFont val="ＭＳ Ｐゴシック"/>
        <family val="3"/>
        <charset val="128"/>
      </rPr>
      <t xml:space="preserve"> </t>
    </r>
    <r>
      <rPr>
        <sz val="10"/>
        <rFont val="ＭＳ Ｐゴシック"/>
        <family val="3"/>
        <charset val="128"/>
      </rPr>
      <t xml:space="preserve">= </t>
    </r>
    <phoneticPr fontId="3"/>
  </si>
  <si>
    <r>
      <t xml:space="preserve"> θ</t>
    </r>
    <r>
      <rPr>
        <i/>
        <vertAlign val="subscript"/>
        <sz val="10"/>
        <rFont val="Century"/>
        <family val="1"/>
      </rPr>
      <t>fm</t>
    </r>
    <r>
      <rPr>
        <i/>
        <sz val="10"/>
        <rFont val="ＭＳ Ｐゴシック"/>
        <family val="3"/>
        <charset val="128"/>
      </rPr>
      <t xml:space="preserve"> </t>
    </r>
    <r>
      <rPr>
        <sz val="10"/>
        <rFont val="ＭＳ Ｐゴシック"/>
        <family val="3"/>
        <charset val="128"/>
      </rPr>
      <t xml:space="preserve">= </t>
    </r>
    <phoneticPr fontId="3"/>
  </si>
  <si>
    <r>
      <t xml:space="preserve"> θ</t>
    </r>
    <r>
      <rPr>
        <i/>
        <vertAlign val="subscript"/>
        <sz val="10"/>
        <rFont val="Century"/>
        <family val="1"/>
      </rPr>
      <t>fr</t>
    </r>
    <r>
      <rPr>
        <i/>
        <sz val="10"/>
        <rFont val="ＭＳ Ｐゴシック"/>
        <family val="3"/>
        <charset val="128"/>
      </rPr>
      <t xml:space="preserve"> </t>
    </r>
    <r>
      <rPr>
        <sz val="10"/>
        <rFont val="ＭＳ Ｐゴシック"/>
        <family val="3"/>
        <charset val="128"/>
      </rPr>
      <t xml:space="preserve">= </t>
    </r>
    <phoneticPr fontId="3"/>
  </si>
  <si>
    <t>&lt;ガス&gt;</t>
    <phoneticPr fontId="3"/>
  </si>
  <si>
    <t>ガス熱源</t>
    <rPh sb="2" eb="4">
      <t>ネツゲン</t>
    </rPh>
    <phoneticPr fontId="3"/>
  </si>
  <si>
    <r>
      <t xml:space="preserve"> P</t>
    </r>
    <r>
      <rPr>
        <i/>
        <vertAlign val="subscript"/>
        <sz val="10"/>
        <rFont val="Century"/>
        <family val="1"/>
      </rPr>
      <t>sG</t>
    </r>
    <r>
      <rPr>
        <i/>
        <sz val="10"/>
        <rFont val="ＭＳ Ｐゴシック"/>
        <family val="3"/>
        <charset val="128"/>
      </rPr>
      <t xml:space="preserve"> </t>
    </r>
    <r>
      <rPr>
        <sz val="10"/>
        <rFont val="ＭＳ Ｐゴシック"/>
        <family val="3"/>
        <charset val="128"/>
      </rPr>
      <t xml:space="preserve">= </t>
    </r>
    <phoneticPr fontId="3"/>
  </si>
  <si>
    <t>Wp</t>
    <phoneticPr fontId="3"/>
  </si>
  <si>
    <t>Wf</t>
    <phoneticPr fontId="3"/>
  </si>
  <si>
    <t>Wm</t>
    <phoneticPr fontId="3"/>
  </si>
  <si>
    <t>Wr</t>
    <phoneticPr fontId="3"/>
  </si>
  <si>
    <t>&lt;立上り時&gt;</t>
    <rPh sb="1" eb="3">
      <t>タチアガ</t>
    </rPh>
    <rPh sb="4" eb="5">
      <t>ジ</t>
    </rPh>
    <phoneticPr fontId="3"/>
  </si>
  <si>
    <t>W(x)</t>
    <phoneticPr fontId="3"/>
  </si>
  <si>
    <t>&lt;電気&gt;</t>
    <rPh sb="1" eb="3">
      <t>デンキ</t>
    </rPh>
    <phoneticPr fontId="3"/>
  </si>
  <si>
    <t>電気熱源</t>
    <rPh sb="0" eb="2">
      <t>デンキ</t>
    </rPh>
    <rPh sb="2" eb="4">
      <t>ネツゲン</t>
    </rPh>
    <phoneticPr fontId="3"/>
  </si>
  <si>
    <t>&lt;食器なし処理時&gt;</t>
    <rPh sb="1" eb="3">
      <t>ショッキ</t>
    </rPh>
    <rPh sb="5" eb="7">
      <t>ショリ</t>
    </rPh>
    <rPh sb="7" eb="8">
      <t>ジ</t>
    </rPh>
    <phoneticPr fontId="3"/>
  </si>
  <si>
    <t>予備洗浄タンクと仕上げすすぎタンク以外のタンクの加熱用エネルギー源</t>
    <phoneticPr fontId="3"/>
  </si>
  <si>
    <t>補正</t>
    <rPh sb="0" eb="2">
      <t>ホセイ</t>
    </rPh>
    <phoneticPr fontId="3"/>
  </si>
  <si>
    <t>ガスのみ</t>
    <phoneticPr fontId="3"/>
  </si>
  <si>
    <t>電気のみ</t>
    <rPh sb="0" eb="2">
      <t>デンキ</t>
    </rPh>
    <phoneticPr fontId="3"/>
  </si>
  <si>
    <t>電気とガス</t>
    <rPh sb="0" eb="2">
      <t>デンキ</t>
    </rPh>
    <phoneticPr fontId="3"/>
  </si>
  <si>
    <t>(1)機器に給湯を接続する場合</t>
    <phoneticPr fontId="3"/>
  </si>
  <si>
    <t>(2)機器に給水を接続する場合</t>
    <rPh sb="7" eb="8">
      <t>スイ</t>
    </rPh>
    <phoneticPr fontId="3"/>
  </si>
  <si>
    <t>&lt;処理時&gt;</t>
    <rPh sb="1" eb="3">
      <t>ショリ</t>
    </rPh>
    <rPh sb="3" eb="4">
      <t>ジ</t>
    </rPh>
    <phoneticPr fontId="3"/>
  </si>
  <si>
    <t>ガス熱源の定数</t>
    <rPh sb="2" eb="4">
      <t>ネツゲン</t>
    </rPh>
    <rPh sb="5" eb="7">
      <t>ジョウスウ</t>
    </rPh>
    <phoneticPr fontId="3"/>
  </si>
  <si>
    <t>(kWh)</t>
    <phoneticPr fontId="3"/>
  </si>
  <si>
    <t>(kWh/h)</t>
    <phoneticPr fontId="3"/>
  </si>
  <si>
    <t>(kWh/h)</t>
    <phoneticPr fontId="3"/>
  </si>
  <si>
    <t>＜立上り試験結果＞</t>
    <rPh sb="1" eb="3">
      <t>タチアガ</t>
    </rPh>
    <rPh sb="4" eb="6">
      <t>シケン</t>
    </rPh>
    <rPh sb="6" eb="8">
      <t>ケッカ</t>
    </rPh>
    <phoneticPr fontId="3"/>
  </si>
  <si>
    <r>
      <rPr>
        <i/>
        <sz val="10"/>
        <rFont val="ＭＳ Ｐ明朝"/>
        <family val="1"/>
        <charset val="128"/>
      </rPr>
      <t>水の比熱</t>
    </r>
    <r>
      <rPr>
        <i/>
        <sz val="10"/>
        <rFont val="Century"/>
        <family val="1"/>
      </rPr>
      <t xml:space="preserve">C </t>
    </r>
    <r>
      <rPr>
        <sz val="10"/>
        <rFont val="ＭＳ Ｐゴシック"/>
        <family val="3"/>
        <charset val="128"/>
      </rPr>
      <t>=</t>
    </r>
    <rPh sb="0" eb="1">
      <t>ミズ</t>
    </rPh>
    <rPh sb="2" eb="4">
      <t>ヒネツ</t>
    </rPh>
    <phoneticPr fontId="3"/>
  </si>
  <si>
    <t>電気熱源の定数</t>
    <rPh sb="0" eb="2">
      <t>デンキ</t>
    </rPh>
    <rPh sb="2" eb="4">
      <t>ネツゲン</t>
    </rPh>
    <rPh sb="5" eb="7">
      <t>ジョウスウ</t>
    </rPh>
    <phoneticPr fontId="3"/>
  </si>
  <si>
    <t>　待機状態に達した後、試験食器がない状態で洗浄運転をした時のエネルギー消費量を測定する。給湯（給水）温度およびエネルギー消費量の測定時間は、洗浄運転を始めてから1時間（60±5min）とする。</t>
    <rPh sb="35" eb="37">
      <t>ショウヒ</t>
    </rPh>
    <rPh sb="47" eb="49">
      <t>キュウスイ</t>
    </rPh>
    <rPh sb="60" eb="62">
      <t>ショウヒ</t>
    </rPh>
    <rPh sb="81" eb="83">
      <t>ジカン</t>
    </rPh>
    <phoneticPr fontId="3"/>
  </si>
  <si>
    <t>(min)</t>
    <phoneticPr fontId="3"/>
  </si>
  <si>
    <t>最大ガス消費量測定グラフ</t>
    <rPh sb="0" eb="2">
      <t>サイダイ</t>
    </rPh>
    <rPh sb="4" eb="6">
      <t>ショウヒ</t>
    </rPh>
    <rPh sb="6" eb="7">
      <t>リョウ</t>
    </rPh>
    <rPh sb="7" eb="9">
      <t>ソクテイ</t>
    </rPh>
    <phoneticPr fontId="3"/>
  </si>
  <si>
    <t>＜処理水接続仕様（標準温度）＞</t>
    <rPh sb="1" eb="3">
      <t>ショリ</t>
    </rPh>
    <rPh sb="3" eb="4">
      <t>スイ</t>
    </rPh>
    <rPh sb="4" eb="6">
      <t>セツゾク</t>
    </rPh>
    <rPh sb="6" eb="8">
      <t>シヨウ</t>
    </rPh>
    <rPh sb="9" eb="11">
      <t>ヒョウジュン</t>
    </rPh>
    <rPh sb="11" eb="13">
      <t>オンド</t>
    </rPh>
    <phoneticPr fontId="3"/>
  </si>
  <si>
    <t>＜各タンクの仕様（貯湯量と加熱源種）＞</t>
    <rPh sb="1" eb="2">
      <t>カク</t>
    </rPh>
    <rPh sb="6" eb="8">
      <t>シヨウ</t>
    </rPh>
    <rPh sb="9" eb="11">
      <t>チョトウ</t>
    </rPh>
    <rPh sb="11" eb="12">
      <t>リョウ</t>
    </rPh>
    <rPh sb="13" eb="15">
      <t>カネツ</t>
    </rPh>
    <rPh sb="14" eb="16">
      <t>ネツゲン</t>
    </rPh>
    <rPh sb="16" eb="17">
      <t>シュ</t>
    </rPh>
    <phoneticPr fontId="3"/>
  </si>
  <si>
    <t>試験食器の重量と比熱の標準値</t>
  </si>
  <si>
    <t>(kW)</t>
    <phoneticPr fontId="3"/>
  </si>
  <si>
    <t xml:space="preserve">        </t>
    <phoneticPr fontId="3"/>
  </si>
  <si>
    <t>電動機</t>
    <rPh sb="0" eb="3">
      <t>デンドウキ</t>
    </rPh>
    <phoneticPr fontId="3"/>
  </si>
  <si>
    <t>電熱装置</t>
    <rPh sb="0" eb="2">
      <t>デンネツ</t>
    </rPh>
    <rPh sb="2" eb="4">
      <t>ソウチ</t>
    </rPh>
    <phoneticPr fontId="3"/>
  </si>
  <si>
    <t>④日あたり給水量または日あたり給湯量</t>
    <rPh sb="5" eb="7">
      <t>キュウスイ</t>
    </rPh>
    <rPh sb="7" eb="8">
      <t>リョウ</t>
    </rPh>
    <rPh sb="11" eb="12">
      <t>ヒ</t>
    </rPh>
    <phoneticPr fontId="3"/>
  </si>
  <si>
    <t>処理時間を想定した日あたり給水量または日あたり給湯量を計算する。</t>
    <rPh sb="0" eb="2">
      <t>ショリ</t>
    </rPh>
    <rPh sb="2" eb="4">
      <t>ジカン</t>
    </rPh>
    <rPh sb="5" eb="7">
      <t>ソウテイ</t>
    </rPh>
    <rPh sb="9" eb="10">
      <t>ヒ</t>
    </rPh>
    <rPh sb="13" eb="15">
      <t>キュウスイ</t>
    </rPh>
    <rPh sb="15" eb="16">
      <t>リョウ</t>
    </rPh>
    <rPh sb="19" eb="20">
      <t>ヒ</t>
    </rPh>
    <rPh sb="23" eb="25">
      <t>キュウトウ</t>
    </rPh>
    <rPh sb="25" eb="26">
      <t>リョウ</t>
    </rPh>
    <rPh sb="27" eb="29">
      <t>ケイサン</t>
    </rPh>
    <phoneticPr fontId="3"/>
  </si>
  <si>
    <t>番号</t>
    <phoneticPr fontId="3"/>
  </si>
  <si>
    <t>業務用厨房熱機器等性能測定結果　【ガス機器】</t>
    <rPh sb="0" eb="3">
      <t>ギョウムヨウ</t>
    </rPh>
    <rPh sb="3" eb="5">
      <t>チュウボウ</t>
    </rPh>
    <rPh sb="5" eb="6">
      <t>ネツ</t>
    </rPh>
    <rPh sb="6" eb="8">
      <t>キキ</t>
    </rPh>
    <rPh sb="8" eb="9">
      <t>トウ</t>
    </rPh>
    <rPh sb="9" eb="11">
      <t>セイノウ</t>
    </rPh>
    <rPh sb="11" eb="13">
      <t>ソクテイ</t>
    </rPh>
    <rPh sb="13" eb="15">
      <t>ケッカ</t>
    </rPh>
    <rPh sb="19" eb="21">
      <t>キキ</t>
    </rPh>
    <phoneticPr fontId="3"/>
  </si>
  <si>
    <t>業務用厨房熱機器等性能測定結果　【ガス機器】</t>
    <rPh sb="19" eb="21">
      <t>キキ</t>
    </rPh>
    <phoneticPr fontId="3"/>
  </si>
  <si>
    <r>
      <t>①：</t>
    </r>
    <r>
      <rPr>
        <b/>
        <sz val="11"/>
        <rFont val="ＭＳ Ｐゴシック"/>
        <family val="3"/>
        <charset val="128"/>
      </rPr>
      <t>「ガス消費量の算出」に規定する次式にて算出する場合</t>
    </r>
    <rPh sb="5" eb="8">
      <t>ショウヒリョウ</t>
    </rPh>
    <rPh sb="9" eb="11">
      <t>サンシュツ</t>
    </rPh>
    <rPh sb="13" eb="15">
      <t>キテイ</t>
    </rPh>
    <rPh sb="17" eb="19">
      <t>ジシキ</t>
    </rPh>
    <rPh sb="21" eb="23">
      <t>サンシュツ</t>
    </rPh>
    <rPh sb="25" eb="27">
      <t>バアイ</t>
    </rPh>
    <phoneticPr fontId="3"/>
  </si>
  <si>
    <t>⇒</t>
    <phoneticPr fontId="3"/>
  </si>
  <si>
    <t>②：「JIS S2093 家庭用ガス燃焼機器の試験方法」の「9.ガス消費量試験」に規定されている次式を用いて算出した値（ガスメータは湿式ガスメータとする）を用いる場合
※業務用ガス厨房機器検査規程（JIA D001）のガス消費量の計算式と同じ式</t>
    <rPh sb="58" eb="59">
      <t>アタイ</t>
    </rPh>
    <rPh sb="78" eb="79">
      <t>モチ</t>
    </rPh>
    <rPh sb="119" eb="120">
      <t>オナ</t>
    </rPh>
    <rPh sb="121" eb="122">
      <t>シキ</t>
    </rPh>
    <phoneticPr fontId="3"/>
  </si>
  <si>
    <t>試験機器品目</t>
    <rPh sb="0" eb="2">
      <t>シケン</t>
    </rPh>
    <rPh sb="2" eb="4">
      <t>キキ</t>
    </rPh>
    <rPh sb="4" eb="6">
      <t>ヒンモク</t>
    </rPh>
    <phoneticPr fontId="3"/>
  </si>
  <si>
    <t>熱源種</t>
    <rPh sb="0" eb="2">
      <t>ネツゲン</t>
    </rPh>
    <rPh sb="2" eb="3">
      <t>シュ</t>
    </rPh>
    <phoneticPr fontId="3"/>
  </si>
  <si>
    <t>タンク種</t>
    <rPh sb="3" eb="4">
      <t>シュ</t>
    </rPh>
    <phoneticPr fontId="3"/>
  </si>
  <si>
    <r>
      <t xml:space="preserve"> </t>
    </r>
    <r>
      <rPr>
        <i/>
        <sz val="10"/>
        <rFont val="ＭＳ Ｐ明朝"/>
        <family val="1"/>
        <charset val="128"/>
      </rPr>
      <t>ガスの補正係数</t>
    </r>
    <r>
      <rPr>
        <i/>
        <sz val="10"/>
        <rFont val="Century"/>
        <family val="1"/>
      </rPr>
      <t>X</t>
    </r>
    <r>
      <rPr>
        <i/>
        <sz val="10"/>
        <rFont val="ＭＳ Ｐゴシック"/>
        <family val="3"/>
        <charset val="128"/>
      </rPr>
      <t xml:space="preserve"> </t>
    </r>
    <r>
      <rPr>
        <sz val="10"/>
        <rFont val="ＭＳ Ｐゴシック"/>
        <family val="3"/>
        <charset val="128"/>
      </rPr>
      <t xml:space="preserve">= </t>
    </r>
    <rPh sb="4" eb="6">
      <t>ホセイ</t>
    </rPh>
    <rPh sb="6" eb="8">
      <t>ケイスウ</t>
    </rPh>
    <phoneticPr fontId="3"/>
  </si>
  <si>
    <t>性能測定結果</t>
    <rPh sb="2" eb="4">
      <t>ソクテイ</t>
    </rPh>
    <rPh sb="4" eb="6">
      <t>ケッカ</t>
    </rPh>
    <phoneticPr fontId="3"/>
  </si>
  <si>
    <t>品　目</t>
    <rPh sb="0" eb="1">
      <t>シナ</t>
    </rPh>
    <rPh sb="2" eb="3">
      <t>メ</t>
    </rPh>
    <phoneticPr fontId="3"/>
  </si>
  <si>
    <t>測定写真</t>
    <rPh sb="0" eb="2">
      <t>ソクテイ</t>
    </rPh>
    <rPh sb="2" eb="4">
      <t>シャシン</t>
    </rPh>
    <phoneticPr fontId="3"/>
  </si>
  <si>
    <r>
      <rPr>
        <i/>
        <sz val="10"/>
        <rFont val="Cambria"/>
        <family val="1"/>
      </rPr>
      <t>W</t>
    </r>
    <r>
      <rPr>
        <i/>
        <vertAlign val="subscript"/>
        <sz val="10"/>
        <rFont val="Cambria"/>
        <family val="1"/>
      </rPr>
      <t>m</t>
    </r>
    <r>
      <rPr>
        <sz val="10"/>
        <rFont val="Cambria"/>
        <family val="1"/>
      </rPr>
      <t xml:space="preserve"> : </t>
    </r>
    <r>
      <rPr>
        <sz val="10"/>
        <rFont val="ＭＳ Ｐゴシック"/>
        <family val="3"/>
        <charset val="128"/>
      </rPr>
      <t>循環すすぎタンクの貯湯量[ℓ/回]</t>
    </r>
    <rPh sb="5" eb="7">
      <t>ジュンカン</t>
    </rPh>
    <rPh sb="20" eb="21">
      <t>カイ</t>
    </rPh>
    <phoneticPr fontId="3"/>
  </si>
  <si>
    <r>
      <rPr>
        <i/>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水の比熱 4.19kJ/kg℃</t>
    </r>
    <phoneticPr fontId="3"/>
  </si>
  <si>
    <r>
      <t xml:space="preserve">C </t>
    </r>
    <r>
      <rPr>
        <sz val="10"/>
        <rFont val="Cambria"/>
        <family val="1"/>
      </rPr>
      <t>=</t>
    </r>
    <phoneticPr fontId="3"/>
  </si>
  <si>
    <r>
      <rPr>
        <i/>
        <sz val="10"/>
        <rFont val="Cambria"/>
        <family val="1"/>
      </rPr>
      <t>Π</t>
    </r>
    <r>
      <rPr>
        <i/>
        <vertAlign val="subscript"/>
        <sz val="10"/>
        <rFont val="Cambria"/>
        <family val="1"/>
      </rPr>
      <t>s</t>
    </r>
    <r>
      <rPr>
        <sz val="10"/>
        <rFont val="Cambria"/>
        <family val="1"/>
      </rPr>
      <t>=</t>
    </r>
    <phoneticPr fontId="3"/>
  </si>
  <si>
    <r>
      <t>乾式ガス流量計を用いて測定する場合は</t>
    </r>
    <r>
      <rPr>
        <i/>
        <sz val="10"/>
        <rFont val="Cambria"/>
        <family val="1"/>
      </rPr>
      <t>Π</t>
    </r>
    <r>
      <rPr>
        <i/>
        <vertAlign val="subscript"/>
        <sz val="10"/>
        <rFont val="Cambria"/>
        <family val="1"/>
      </rPr>
      <t>s</t>
    </r>
    <r>
      <rPr>
        <sz val="10"/>
        <rFont val="ＭＳ Ｐゴシック"/>
        <family val="3"/>
        <charset val="128"/>
      </rPr>
      <t xml:space="preserve">  = 0とする。</t>
    </r>
    <phoneticPr fontId="3"/>
  </si>
  <si>
    <r>
      <t>湿式ガス流量計を用いて測定する場合は、</t>
    </r>
    <r>
      <rPr>
        <i/>
        <sz val="10"/>
        <rFont val="Cambria"/>
        <family val="1"/>
      </rPr>
      <t>Π</t>
    </r>
    <r>
      <rPr>
        <i/>
        <vertAlign val="subscript"/>
        <sz val="10"/>
        <rFont val="Cambria"/>
        <family val="1"/>
      </rPr>
      <t>s</t>
    </r>
    <r>
      <rPr>
        <sz val="10"/>
        <rFont val="ＭＳ Ｐゴシック"/>
        <family val="3"/>
        <charset val="128"/>
      </rPr>
      <t xml:space="preserve"> を以下の式から算出する。</t>
    </r>
    <phoneticPr fontId="3"/>
  </si>
  <si>
    <r>
      <t>【ガスの補正係数：</t>
    </r>
    <r>
      <rPr>
        <i/>
        <sz val="10"/>
        <rFont val="Cambria"/>
        <family val="1"/>
      </rPr>
      <t>X</t>
    </r>
    <r>
      <rPr>
        <sz val="10"/>
        <rFont val="ＭＳ Ｐゴシック"/>
        <family val="3"/>
        <charset val="128"/>
      </rPr>
      <t>】</t>
    </r>
    <phoneticPr fontId="3"/>
  </si>
  <si>
    <r>
      <rPr>
        <i/>
        <sz val="10"/>
        <rFont val="Cambria"/>
        <family val="1"/>
      </rPr>
      <t>ΔQ</t>
    </r>
    <r>
      <rPr>
        <i/>
        <vertAlign val="subscript"/>
        <sz val="10"/>
        <rFont val="Cambria"/>
        <family val="1"/>
      </rPr>
      <t>c</t>
    </r>
    <r>
      <rPr>
        <vertAlign val="subscript"/>
        <sz val="10"/>
        <rFont val="Century"/>
        <family val="1"/>
      </rPr>
      <t xml:space="preserve"> </t>
    </r>
    <r>
      <rPr>
        <sz val="10"/>
        <rFont val="ＭＳ Ｐゴシック"/>
        <family val="3"/>
        <charset val="128"/>
      </rPr>
      <t>： 試験食器の熱負荷相当　[kWh/h]</t>
    </r>
    <rPh sb="11" eb="12">
      <t>ネツ</t>
    </rPh>
    <rPh sb="12" eb="14">
      <t>フカ</t>
    </rPh>
    <rPh sb="14" eb="16">
      <t>ソウトウ</t>
    </rPh>
    <phoneticPr fontId="3"/>
  </si>
  <si>
    <r>
      <rPr>
        <i/>
        <sz val="10"/>
        <rFont val="Cambria"/>
        <family val="1"/>
      </rPr>
      <t>X</t>
    </r>
    <r>
      <rPr>
        <vertAlign val="subscript"/>
        <sz val="10"/>
        <rFont val="Century"/>
        <family val="1"/>
      </rPr>
      <t xml:space="preserve"> </t>
    </r>
    <r>
      <rPr>
        <sz val="10"/>
        <rFont val="ＭＳ Ｐゴシック"/>
        <family val="3"/>
        <charset val="128"/>
      </rPr>
      <t>： ガスの補正係数　[-]</t>
    </r>
    <rPh sb="7" eb="9">
      <t>ホセイ</t>
    </rPh>
    <rPh sb="9" eb="11">
      <t>ケイスウ</t>
    </rPh>
    <phoneticPr fontId="3"/>
  </si>
  <si>
    <r>
      <t>X</t>
    </r>
    <r>
      <rPr>
        <i/>
        <vertAlign val="subscript"/>
        <sz val="10"/>
        <rFont val="Cambria"/>
        <family val="1"/>
      </rPr>
      <t xml:space="preserve"> </t>
    </r>
    <r>
      <rPr>
        <sz val="10"/>
        <rFont val="Cambria"/>
        <family val="1"/>
      </rPr>
      <t>=</t>
    </r>
    <phoneticPr fontId="3"/>
  </si>
  <si>
    <r>
      <t>T</t>
    </r>
    <r>
      <rPr>
        <vertAlign val="subscript"/>
        <sz val="10"/>
        <rFont val="Cambria"/>
        <family val="1"/>
      </rPr>
      <t>1</t>
    </r>
    <r>
      <rPr>
        <i/>
        <sz val="10"/>
        <rFont val="Cambria"/>
        <family val="1"/>
      </rPr>
      <t xml:space="preserve"> </t>
    </r>
    <r>
      <rPr>
        <sz val="10"/>
        <rFont val="Cambria"/>
        <family val="1"/>
      </rPr>
      <t xml:space="preserve">= </t>
    </r>
    <phoneticPr fontId="3"/>
  </si>
  <si>
    <r>
      <t>T</t>
    </r>
    <r>
      <rPr>
        <vertAlign val="subscript"/>
        <sz val="10"/>
        <rFont val="Cambria"/>
        <family val="1"/>
      </rPr>
      <t>2</t>
    </r>
    <r>
      <rPr>
        <i/>
        <sz val="10"/>
        <rFont val="Cambria"/>
        <family val="1"/>
      </rPr>
      <t xml:space="preserve"> </t>
    </r>
    <r>
      <rPr>
        <sz val="10"/>
        <rFont val="Cambria"/>
        <family val="1"/>
      </rPr>
      <t xml:space="preserve">= </t>
    </r>
    <phoneticPr fontId="3"/>
  </si>
  <si>
    <r>
      <t>T</t>
    </r>
    <r>
      <rPr>
        <vertAlign val="subscript"/>
        <sz val="10"/>
        <rFont val="Cambria"/>
        <family val="1"/>
      </rPr>
      <t>3</t>
    </r>
    <r>
      <rPr>
        <i/>
        <sz val="10"/>
        <rFont val="Cambria"/>
        <family val="1"/>
      </rPr>
      <t xml:space="preserve"> </t>
    </r>
    <r>
      <rPr>
        <sz val="10"/>
        <rFont val="Cambria"/>
        <family val="1"/>
      </rPr>
      <t xml:space="preserve">= </t>
    </r>
    <phoneticPr fontId="3"/>
  </si>
  <si>
    <r>
      <t>T</t>
    </r>
    <r>
      <rPr>
        <vertAlign val="subscript"/>
        <sz val="10"/>
        <rFont val="Cambria"/>
        <family val="1"/>
      </rPr>
      <t>4</t>
    </r>
    <r>
      <rPr>
        <i/>
        <sz val="10"/>
        <rFont val="Cambria"/>
        <family val="1"/>
      </rPr>
      <t xml:space="preserve"> </t>
    </r>
    <r>
      <rPr>
        <sz val="10"/>
        <rFont val="Cambria"/>
        <family val="1"/>
      </rPr>
      <t xml:space="preserve">= </t>
    </r>
    <phoneticPr fontId="3"/>
  </si>
  <si>
    <r>
      <t xml:space="preserve">C </t>
    </r>
    <r>
      <rPr>
        <sz val="10"/>
        <rFont val="Cambria"/>
        <family val="1"/>
      </rPr>
      <t xml:space="preserve"> =</t>
    </r>
    <phoneticPr fontId="3"/>
  </si>
  <si>
    <r>
      <t>p</t>
    </r>
    <r>
      <rPr>
        <vertAlign val="subscript"/>
        <sz val="14"/>
        <rFont val="Cambria"/>
        <family val="1"/>
      </rPr>
      <t xml:space="preserve">rG </t>
    </r>
    <phoneticPr fontId="3"/>
  </si>
  <si>
    <r>
      <t>p</t>
    </r>
    <r>
      <rPr>
        <vertAlign val="subscript"/>
        <sz val="14"/>
        <rFont val="Cambria"/>
        <family val="1"/>
      </rPr>
      <t xml:space="preserve">rE </t>
    </r>
    <phoneticPr fontId="3"/>
  </si>
  <si>
    <t>⑤日あたり</t>
    <phoneticPr fontId="3"/>
  </si>
  <si>
    <t>④日あたり</t>
    <phoneticPr fontId="3"/>
  </si>
  <si>
    <r>
      <t>T</t>
    </r>
    <r>
      <rPr>
        <i/>
        <vertAlign val="subscript"/>
        <sz val="14"/>
        <rFont val="Cambria"/>
        <family val="1"/>
      </rPr>
      <t>s</t>
    </r>
    <phoneticPr fontId="3"/>
  </si>
  <si>
    <r>
      <t>V</t>
    </r>
    <r>
      <rPr>
        <vertAlign val="subscript"/>
        <sz val="14"/>
        <rFont val="Cambria"/>
        <family val="1"/>
      </rPr>
      <t>c</t>
    </r>
    <phoneticPr fontId="3"/>
  </si>
  <si>
    <r>
      <t>Q</t>
    </r>
    <r>
      <rPr>
        <vertAlign val="subscript"/>
        <sz val="14"/>
        <rFont val="Cambria"/>
        <family val="1"/>
      </rPr>
      <t>sG</t>
    </r>
    <phoneticPr fontId="3"/>
  </si>
  <si>
    <r>
      <t>Q</t>
    </r>
    <r>
      <rPr>
        <vertAlign val="subscript"/>
        <sz val="14"/>
        <rFont val="Cambria"/>
        <family val="1"/>
      </rPr>
      <t>sE</t>
    </r>
    <phoneticPr fontId="3"/>
  </si>
  <si>
    <r>
      <t>Q</t>
    </r>
    <r>
      <rPr>
        <vertAlign val="subscript"/>
        <sz val="14"/>
        <rFont val="Cambria"/>
        <family val="1"/>
      </rPr>
      <t>c0G</t>
    </r>
    <phoneticPr fontId="3"/>
  </si>
  <si>
    <r>
      <t>Q</t>
    </r>
    <r>
      <rPr>
        <vertAlign val="subscript"/>
        <sz val="14"/>
        <rFont val="Cambria"/>
        <family val="1"/>
      </rPr>
      <t>c0E</t>
    </r>
    <phoneticPr fontId="3"/>
  </si>
  <si>
    <r>
      <t>Q</t>
    </r>
    <r>
      <rPr>
        <vertAlign val="subscript"/>
        <sz val="14"/>
        <rFont val="Cambria"/>
        <family val="1"/>
      </rPr>
      <t>cG</t>
    </r>
    <phoneticPr fontId="3"/>
  </si>
  <si>
    <r>
      <t>Q</t>
    </r>
    <r>
      <rPr>
        <vertAlign val="subscript"/>
        <sz val="14"/>
        <rFont val="Cambria"/>
        <family val="1"/>
      </rPr>
      <t>cE</t>
    </r>
    <phoneticPr fontId="3"/>
  </si>
  <si>
    <r>
      <t>Q</t>
    </r>
    <r>
      <rPr>
        <vertAlign val="subscript"/>
        <sz val="14"/>
        <rFont val="Cambria"/>
        <family val="1"/>
      </rPr>
      <t>iG</t>
    </r>
    <phoneticPr fontId="3"/>
  </si>
  <si>
    <r>
      <t>Q</t>
    </r>
    <r>
      <rPr>
        <vertAlign val="subscript"/>
        <sz val="14"/>
        <rFont val="Cambria"/>
        <family val="1"/>
      </rPr>
      <t>iE</t>
    </r>
    <phoneticPr fontId="3"/>
  </si>
  <si>
    <r>
      <t>Q</t>
    </r>
    <r>
      <rPr>
        <vertAlign val="subscript"/>
        <sz val="14"/>
        <rFont val="Cambria"/>
        <family val="1"/>
      </rPr>
      <t>dHG</t>
    </r>
    <phoneticPr fontId="3"/>
  </si>
  <si>
    <r>
      <t>Q</t>
    </r>
    <r>
      <rPr>
        <vertAlign val="subscript"/>
        <sz val="14"/>
        <rFont val="Cambria"/>
        <family val="1"/>
      </rPr>
      <t>dHE</t>
    </r>
    <phoneticPr fontId="3"/>
  </si>
  <si>
    <r>
      <t>W</t>
    </r>
    <r>
      <rPr>
        <vertAlign val="subscript"/>
        <sz val="14"/>
        <rFont val="Cambria"/>
        <family val="1"/>
      </rPr>
      <t>s</t>
    </r>
    <phoneticPr fontId="3"/>
  </si>
  <si>
    <r>
      <t>W</t>
    </r>
    <r>
      <rPr>
        <vertAlign val="subscript"/>
        <sz val="14"/>
        <rFont val="Cambria"/>
        <family val="1"/>
      </rPr>
      <t>c</t>
    </r>
    <phoneticPr fontId="3"/>
  </si>
  <si>
    <r>
      <t>W</t>
    </r>
    <r>
      <rPr>
        <vertAlign val="subscript"/>
        <sz val="14"/>
        <rFont val="Cambria"/>
        <family val="1"/>
      </rPr>
      <t>dH</t>
    </r>
    <phoneticPr fontId="3"/>
  </si>
  <si>
    <r>
      <rPr>
        <i/>
        <sz val="10"/>
        <rFont val="Cambria"/>
        <family val="1"/>
      </rPr>
      <t>T</t>
    </r>
    <r>
      <rPr>
        <vertAlign val="subscript"/>
        <sz val="10"/>
        <rFont val="Cambria"/>
        <family val="1"/>
      </rPr>
      <t xml:space="preserve">G </t>
    </r>
    <r>
      <rPr>
        <sz val="10"/>
        <rFont val="Cambria"/>
        <family val="1"/>
      </rPr>
      <t>=</t>
    </r>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</si>
  <si>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</si>
  <si>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</si>
  <si>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</si>
  <si>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</si>
  <si>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</si>
  <si>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</si>
  <si>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rPr>
        <i/>
        <sz val="10"/>
        <rFont val="Cambria"/>
        <family val="1"/>
      </rPr>
      <t>T</t>
    </r>
    <r>
      <rPr>
        <vertAlign val="subscript"/>
        <sz val="10"/>
        <rFont val="Cambria"/>
        <family val="1"/>
      </rPr>
      <t>G</t>
    </r>
    <r>
      <rPr>
        <sz val="10"/>
        <rFont val="ＭＳ Ｐゴシック"/>
        <family val="3"/>
        <charset val="128"/>
      </rPr>
      <t>：実測時間[s]</t>
    </r>
    <rPh sb="3" eb="5">
      <t>ジッソク</t>
    </rPh>
    <rPh sb="5" eb="7">
      <t>ジカン</t>
    </rPh>
    <phoneticPr fontId="3"/>
  </si>
  <si>
    <r>
      <rPr>
        <i/>
        <sz val="10"/>
        <rFont val="Cambria"/>
        <family val="1"/>
      </rPr>
      <t>U</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</si>
  <si>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Cambria"/>
        <family val="1"/>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</si>
  <si>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</si>
  <si>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測定時の大気圧[kPa]</t>
    </r>
    <phoneticPr fontId="3"/>
  </si>
  <si>
    <r>
      <rPr>
        <i/>
        <sz val="10"/>
        <rFont val="Cambria"/>
        <family val="1"/>
      </rPr>
      <t>Π</t>
    </r>
    <r>
      <rPr>
        <vertAlign val="subscript"/>
        <sz val="10"/>
        <rFont val="Cambria"/>
        <family val="1"/>
      </rPr>
      <t>G</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測定時のガスメータ内のガス圧力[kPa]</t>
    </r>
    <phoneticPr fontId="3"/>
  </si>
  <si>
    <r>
      <t>　試験機器の最大ガス消費量：</t>
    </r>
    <r>
      <rPr>
        <b/>
        <i/>
        <sz val="11"/>
        <rFont val="Cambria"/>
        <family val="1"/>
      </rPr>
      <t>p</t>
    </r>
    <r>
      <rPr>
        <b/>
        <vertAlign val="subscript"/>
        <sz val="11"/>
        <rFont val="Cambria"/>
        <family val="1"/>
      </rPr>
      <t>xG</t>
    </r>
    <r>
      <rPr>
        <b/>
        <sz val="11"/>
        <rFont val="Century"/>
        <family val="1"/>
      </rPr>
      <t>[kW]</t>
    </r>
    <rPh sb="1" eb="3">
      <t>シケン</t>
    </rPh>
    <rPh sb="3" eb="5">
      <t>キキ</t>
    </rPh>
    <rPh sb="6" eb="8">
      <t>サイダイ</t>
    </rPh>
    <rPh sb="10" eb="12">
      <t>ショウヒ</t>
    </rPh>
    <rPh sb="12" eb="13">
      <t>リョウ</t>
    </rPh>
    <phoneticPr fontId="3"/>
  </si>
  <si>
    <r>
      <rPr>
        <sz val="10"/>
        <rFont val="ＭＳ Ｐゴシック"/>
        <family val="3"/>
        <charset val="128"/>
      </rPr>
      <t>　　試験機器の初期状態は、予備洗浄タンク、洗浄タンクおよび循環すすぎタンクは空、ならびに、仕上げすすぎタンクは満水とする。初期状態の試験機器を室温になじませた後、最大入力で給湯（給水）および加熱を始める。洗浄タンクが満水になった後に試験食器や試験食器ラックを投入しないで、連続して</t>
    </r>
    <r>
      <rPr>
        <sz val="10"/>
        <rFont val="Cambria"/>
        <family val="1"/>
      </rPr>
      <t>20</t>
    </r>
    <r>
      <rPr>
        <sz val="10"/>
        <rFont val="ＭＳ Ｐゴシック"/>
        <family val="3"/>
        <charset val="128"/>
      </rPr>
      <t>分間洗浄運転する。加熱開始後、ガス消費量がほぼ一定になった時の値を試験機器の最大ガス消費量</t>
    </r>
    <r>
      <rPr>
        <i/>
        <sz val="10"/>
        <rFont val="Cambria"/>
        <family val="1"/>
      </rPr>
      <t>p</t>
    </r>
    <r>
      <rPr>
        <vertAlign val="subscript"/>
        <sz val="10"/>
        <rFont val="Cambria"/>
        <family val="1"/>
      </rPr>
      <t>xG</t>
    </r>
    <r>
      <rPr>
        <sz val="10"/>
        <rFont val="Cambria"/>
        <family val="1"/>
      </rPr>
      <t xml:space="preserve">[kW] </t>
    </r>
    <r>
      <rPr>
        <sz val="10"/>
        <rFont val="ＭＳ Ｐゴシック"/>
        <family val="3"/>
        <charset val="128"/>
      </rPr>
      <t>とする。</t>
    </r>
    <rPh sb="89" eb="91">
      <t>キュウスイ</t>
    </rPh>
    <rPh sb="142" eb="143">
      <t>フン</t>
    </rPh>
    <rPh sb="143" eb="144">
      <t>カン</t>
    </rPh>
    <rPh sb="153" eb="155">
      <t>カイシ</t>
    </rPh>
    <rPh sb="155" eb="156">
      <t>ゴ</t>
    </rPh>
    <rPh sb="161" eb="162">
      <t>リョウ</t>
    </rPh>
    <rPh sb="180" eb="182">
      <t>サイダイ</t>
    </rPh>
    <rPh sb="184" eb="187">
      <t>ショウヒリョウ</t>
    </rPh>
    <phoneticPr fontId="3"/>
  </si>
  <si>
    <r>
      <t>最大ガス消費量</t>
    </r>
    <r>
      <rPr>
        <b/>
        <sz val="10"/>
        <rFont val="Cambria"/>
        <family val="1"/>
      </rPr>
      <t xml:space="preserve"> </t>
    </r>
    <r>
      <rPr>
        <b/>
        <i/>
        <sz val="10"/>
        <rFont val="Cambria"/>
        <family val="1"/>
      </rPr>
      <t>p</t>
    </r>
    <r>
      <rPr>
        <b/>
        <vertAlign val="subscript"/>
        <sz val="10"/>
        <rFont val="Cambria"/>
        <family val="1"/>
      </rPr>
      <t>xG</t>
    </r>
    <r>
      <rPr>
        <b/>
        <sz val="10"/>
        <rFont val="ＭＳ Ｐゴシック"/>
        <family val="3"/>
        <charset val="128"/>
      </rPr>
      <t xml:space="preserve"> [kW] の算出方法は、次の①、②より選択する。</t>
    </r>
    <rPh sb="0" eb="2">
      <t>サイダイ</t>
    </rPh>
    <rPh sb="4" eb="6">
      <t>ショウヒ</t>
    </rPh>
    <rPh sb="6" eb="7">
      <t>リョウ</t>
    </rPh>
    <rPh sb="18" eb="20">
      <t>サンシュツ</t>
    </rPh>
    <rPh sb="20" eb="22">
      <t>ホウホウ</t>
    </rPh>
    <rPh sb="24" eb="25">
      <t>ツギ</t>
    </rPh>
    <rPh sb="31" eb="33">
      <t>センタク</t>
    </rPh>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</si>
  <si>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</si>
  <si>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（m</t>
    </r>
    <r>
      <rPr>
        <vertAlign val="superscript"/>
        <sz val="9"/>
        <rFont val="ＭＳ Ｐゴシック"/>
        <family val="3"/>
        <charset val="128"/>
      </rPr>
      <t>3</t>
    </r>
    <r>
      <rPr>
        <sz val="9"/>
        <rFont val="ＭＳ Ｐゴシック"/>
        <family val="3"/>
        <charset val="128"/>
      </rPr>
      <t>）</t>
    </r>
    <phoneticPr fontId="3"/>
  </si>
  <si>
    <r>
      <t>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</si>
  <si>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</si>
  <si>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t>p</t>
    </r>
    <r>
      <rPr>
        <vertAlign val="subscript"/>
        <sz val="12"/>
        <rFont val="Cambria"/>
        <family val="1"/>
      </rPr>
      <t>xG</t>
    </r>
    <r>
      <rPr>
        <i/>
        <sz val="12"/>
        <rFont val="Cambria"/>
        <family val="1"/>
      </rPr>
      <t xml:space="preserve"> </t>
    </r>
    <r>
      <rPr>
        <sz val="12"/>
        <rFont val="Cambria"/>
        <family val="1"/>
      </rPr>
      <t>=</t>
    </r>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</si>
  <si>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試験機器の最大ガス消費量[ｋW]</t>
    </r>
    <rPh sb="11" eb="13">
      <t>サイダイ</t>
    </rPh>
    <rPh sb="15" eb="17">
      <t>ショウヒ</t>
    </rPh>
    <rPh sb="17" eb="18">
      <t>リョウ</t>
    </rPh>
    <phoneticPr fontId="3"/>
  </si>
  <si>
    <r>
      <rPr>
        <i/>
        <sz val="12"/>
        <rFont val="Cambria"/>
        <family val="1"/>
      </rPr>
      <t>p</t>
    </r>
    <r>
      <rPr>
        <vertAlign val="subscript"/>
        <sz val="12"/>
        <rFont val="Cambria"/>
        <family val="1"/>
      </rPr>
      <t>xG</t>
    </r>
    <r>
      <rPr>
        <sz val="12"/>
        <rFont val="Cambria"/>
        <family val="1"/>
      </rPr>
      <t xml:space="preserve"> =</t>
    </r>
    <phoneticPr fontId="3"/>
  </si>
  <si>
    <r>
      <t>　試験機器の定格エネルギー消費量（ガス）：</t>
    </r>
    <r>
      <rPr>
        <b/>
        <i/>
        <sz val="11"/>
        <rFont val="Cambria"/>
        <family val="1"/>
      </rPr>
      <t>p</t>
    </r>
    <r>
      <rPr>
        <b/>
        <vertAlign val="subscript"/>
        <sz val="11"/>
        <rFont val="Cambria"/>
        <family val="1"/>
      </rPr>
      <t>rG</t>
    </r>
    <r>
      <rPr>
        <b/>
        <sz val="11"/>
        <rFont val="ＭＳ Ｐゴシック"/>
        <family val="3"/>
        <charset val="128"/>
      </rPr>
      <t>[kW]</t>
    </r>
    <rPh sb="1" eb="3">
      <t>シケン</t>
    </rPh>
    <rPh sb="3" eb="5">
      <t>キキ</t>
    </rPh>
    <rPh sb="6" eb="8">
      <t>テイカク</t>
    </rPh>
    <rPh sb="13" eb="16">
      <t>ショウヒリョウ</t>
    </rPh>
    <phoneticPr fontId="3"/>
  </si>
  <si>
    <r>
      <rPr>
        <i/>
        <sz val="11"/>
        <rFont val="Cambria"/>
        <family val="1"/>
      </rPr>
      <t>p</t>
    </r>
    <r>
      <rPr>
        <vertAlign val="subscript"/>
        <sz val="11"/>
        <rFont val="Cambria"/>
        <family val="1"/>
      </rPr>
      <t>rG</t>
    </r>
    <r>
      <rPr>
        <sz val="11"/>
        <rFont val="ＭＳ Ｐゴシック"/>
        <family val="3"/>
        <charset val="128"/>
      </rPr>
      <t xml:space="preserve"> ： 定格エネルギー消費量（ガス）[kW]</t>
    </r>
    <rPh sb="13" eb="15">
      <t>ショウヒ</t>
    </rPh>
    <rPh sb="15" eb="16">
      <t>リョウ</t>
    </rPh>
    <phoneticPr fontId="3"/>
  </si>
  <si>
    <r>
      <t>　試験機器の最大ガス消費量と定格エネルギー消費量（ガス）の差：</t>
    </r>
    <r>
      <rPr>
        <b/>
        <i/>
        <sz val="11"/>
        <rFont val="Cambria"/>
        <family val="1"/>
      </rPr>
      <t>ε</t>
    </r>
    <r>
      <rPr>
        <b/>
        <vertAlign val="subscript"/>
        <sz val="11"/>
        <rFont val="Cambria"/>
        <family val="1"/>
      </rPr>
      <t>pG</t>
    </r>
    <r>
      <rPr>
        <b/>
        <sz val="11"/>
        <rFont val="ＭＳ Ｐゴシック"/>
        <family val="3"/>
        <charset val="128"/>
      </rPr>
      <t>[%]</t>
    </r>
    <rPh sb="1" eb="3">
      <t>シケン</t>
    </rPh>
    <rPh sb="3" eb="5">
      <t>キキ</t>
    </rPh>
    <rPh sb="6" eb="8">
      <t>サイダイ</t>
    </rPh>
    <rPh sb="10" eb="13">
      <t>ショウヒリョウ</t>
    </rPh>
    <rPh sb="14" eb="16">
      <t>テイカク</t>
    </rPh>
    <rPh sb="21" eb="24">
      <t>ショウヒリョウ</t>
    </rPh>
    <rPh sb="29" eb="30">
      <t>サ</t>
    </rPh>
    <phoneticPr fontId="3"/>
  </si>
  <si>
    <r>
      <rPr>
        <i/>
        <sz val="12"/>
        <rFont val="Cambria"/>
        <family val="1"/>
      </rPr>
      <t>ε</t>
    </r>
    <r>
      <rPr>
        <vertAlign val="subscript"/>
        <sz val="12"/>
        <rFont val="Cambria"/>
        <family val="1"/>
      </rPr>
      <t>pG</t>
    </r>
    <r>
      <rPr>
        <sz val="12"/>
        <rFont val="Cambria"/>
        <family val="1"/>
      </rPr>
      <t xml:space="preserve"> =</t>
    </r>
    <phoneticPr fontId="3"/>
  </si>
  <si>
    <r>
      <t>　試験機器の最大消費電力：</t>
    </r>
    <r>
      <rPr>
        <b/>
        <i/>
        <sz val="11"/>
        <rFont val="Cambria"/>
        <family val="1"/>
      </rPr>
      <t>p</t>
    </r>
    <r>
      <rPr>
        <b/>
        <vertAlign val="subscript"/>
        <sz val="11"/>
        <rFont val="Cambria"/>
        <family val="1"/>
      </rPr>
      <t>xE</t>
    </r>
    <r>
      <rPr>
        <b/>
        <sz val="11"/>
        <rFont val="ＭＳ Ｐゴシック"/>
        <family val="3"/>
        <charset val="128"/>
      </rPr>
      <t>[kW]</t>
    </r>
    <rPh sb="1" eb="3">
      <t>シケン</t>
    </rPh>
    <rPh sb="3" eb="5">
      <t>キキ</t>
    </rPh>
    <rPh sb="6" eb="8">
      <t>サイダイ</t>
    </rPh>
    <rPh sb="8" eb="10">
      <t>ショウヒ</t>
    </rPh>
    <rPh sb="10" eb="12">
      <t>デンリョク</t>
    </rPh>
    <phoneticPr fontId="3"/>
  </si>
  <si>
    <r>
      <t>　試験機器の初期状態は、予備洗浄タンク、洗浄タンクおよび循環すすぎタンクは空、ならびに、仕上げすすぎタンクは満水とする。初期状態の試験機器を室温になじませた後、最大入力で給湯（給水）および加熱を始める。洗浄タンクが満水になった後に試験食器や試験食器ラックを投入しないで、連続して20分間洗浄運転する。</t>
    </r>
    <r>
      <rPr>
        <sz val="10"/>
        <rFont val="ＭＳ Ｐゴシック"/>
        <family val="3"/>
        <charset val="128"/>
      </rPr>
      <t xml:space="preserve">加熱を始めてから洗浄運転を終わるまでの間の消費電力の最大値を試験機器の最大消費電力 </t>
    </r>
    <r>
      <rPr>
        <i/>
        <sz val="10"/>
        <rFont val="Cambria"/>
        <family val="1"/>
      </rPr>
      <t>p</t>
    </r>
    <r>
      <rPr>
        <vertAlign val="subscript"/>
        <sz val="10"/>
        <rFont val="Cambria"/>
        <family val="1"/>
      </rPr>
      <t>xE</t>
    </r>
    <r>
      <rPr>
        <sz val="10"/>
        <rFont val="Century"/>
        <family val="1"/>
      </rPr>
      <t xml:space="preserve"> </t>
    </r>
    <r>
      <rPr>
        <sz val="10"/>
        <rFont val="ＭＳ Ｐゴシック"/>
        <family val="3"/>
        <charset val="128"/>
      </rPr>
      <t>[kW] とする。</t>
    </r>
    <phoneticPr fontId="3"/>
  </si>
  <si>
    <r>
      <rPr>
        <i/>
        <sz val="12"/>
        <rFont val="Cambria"/>
        <family val="1"/>
      </rPr>
      <t>ε</t>
    </r>
    <r>
      <rPr>
        <vertAlign val="subscript"/>
        <sz val="12"/>
        <rFont val="Cambria"/>
        <family val="1"/>
      </rPr>
      <t>pE</t>
    </r>
    <r>
      <rPr>
        <sz val="10"/>
        <rFont val="Cambria"/>
        <family val="1"/>
      </rPr>
      <t xml:space="preserve"> =</t>
    </r>
    <phoneticPr fontId="3"/>
  </si>
  <si>
    <t>①電動機と電熱装置の最大消費電力を分けて測定するとき</t>
    <phoneticPr fontId="3"/>
  </si>
  <si>
    <r>
      <rPr>
        <i/>
        <sz val="12"/>
        <rFont val="Cambria"/>
        <family val="1"/>
      </rPr>
      <t>ε</t>
    </r>
    <r>
      <rPr>
        <vertAlign val="subscript"/>
        <sz val="12"/>
        <rFont val="Cambria"/>
        <family val="1"/>
      </rPr>
      <t>pE</t>
    </r>
    <r>
      <rPr>
        <sz val="10"/>
        <rFont val="Cambria"/>
        <family val="1"/>
      </rPr>
      <t xml:space="preserve"> =</t>
    </r>
    <phoneticPr fontId="3"/>
  </si>
  <si>
    <r>
      <rPr>
        <i/>
        <sz val="12"/>
        <rFont val="Cambria"/>
        <family val="1"/>
      </rPr>
      <t>p</t>
    </r>
    <r>
      <rPr>
        <vertAlign val="subscript"/>
        <sz val="12"/>
        <rFont val="Cambria"/>
        <family val="1"/>
      </rPr>
      <t>xE</t>
    </r>
    <r>
      <rPr>
        <sz val="12"/>
        <rFont val="Cambria"/>
        <family val="1"/>
      </rPr>
      <t xml:space="preserve"> =</t>
    </r>
    <phoneticPr fontId="3"/>
  </si>
  <si>
    <r>
      <rPr>
        <i/>
        <sz val="12"/>
        <rFont val="Cambria"/>
        <family val="1"/>
      </rPr>
      <t>ε</t>
    </r>
    <r>
      <rPr>
        <vertAlign val="subscript"/>
        <sz val="12"/>
        <rFont val="Cambria"/>
        <family val="1"/>
      </rPr>
      <t>pE</t>
    </r>
    <r>
      <rPr>
        <sz val="12"/>
        <rFont val="Cambria"/>
        <family val="1"/>
      </rPr>
      <t xml:space="preserve"> =</t>
    </r>
    <phoneticPr fontId="3"/>
  </si>
  <si>
    <t>②電動機と電熱装置の最大消費電力を分けて測定できないとき</t>
    <phoneticPr fontId="3"/>
  </si>
  <si>
    <r>
      <t xml:space="preserve"> θ</t>
    </r>
    <r>
      <rPr>
        <vertAlign val="subscript"/>
        <sz val="10"/>
        <rFont val="Cambria"/>
        <family val="1"/>
      </rPr>
      <t>s</t>
    </r>
    <r>
      <rPr>
        <i/>
        <sz val="10"/>
        <rFont val="Cambria"/>
        <family val="1"/>
      </rPr>
      <t xml:space="preserve"> </t>
    </r>
    <r>
      <rPr>
        <sz val="10"/>
        <rFont val="Cambria"/>
        <family val="1"/>
      </rPr>
      <t xml:space="preserve">= </t>
    </r>
    <phoneticPr fontId="3"/>
  </si>
  <si>
    <r>
      <t>W</t>
    </r>
    <r>
      <rPr>
        <vertAlign val="subscript"/>
        <sz val="10"/>
        <rFont val="Cambria"/>
        <family val="1"/>
      </rPr>
      <t>f</t>
    </r>
    <r>
      <rPr>
        <i/>
        <sz val="10"/>
        <rFont val="Cambria"/>
        <family val="1"/>
      </rPr>
      <t xml:space="preserve"> </t>
    </r>
    <r>
      <rPr>
        <sz val="10"/>
        <rFont val="Cambria"/>
        <family val="1"/>
      </rPr>
      <t xml:space="preserve">= </t>
    </r>
    <phoneticPr fontId="3"/>
  </si>
  <si>
    <r>
      <t>p</t>
    </r>
    <r>
      <rPr>
        <vertAlign val="subscript"/>
        <sz val="10"/>
        <rFont val="Cambria"/>
        <family val="1"/>
      </rPr>
      <t>f</t>
    </r>
    <r>
      <rPr>
        <i/>
        <sz val="10"/>
        <rFont val="Cambria"/>
        <family val="1"/>
      </rPr>
      <t xml:space="preserve"> </t>
    </r>
    <r>
      <rPr>
        <sz val="10"/>
        <rFont val="Cambria"/>
        <family val="1"/>
      </rPr>
      <t>=</t>
    </r>
    <phoneticPr fontId="3"/>
  </si>
  <si>
    <r>
      <t>p</t>
    </r>
    <r>
      <rPr>
        <vertAlign val="subscript"/>
        <sz val="10"/>
        <rFont val="Cambria"/>
        <family val="1"/>
      </rPr>
      <t>m</t>
    </r>
    <r>
      <rPr>
        <sz val="10"/>
        <rFont val="Cambria"/>
        <family val="1"/>
      </rPr>
      <t xml:space="preserve"> =</t>
    </r>
    <phoneticPr fontId="3"/>
  </si>
  <si>
    <r>
      <rPr>
        <i/>
        <sz val="10"/>
        <rFont val="Cambria"/>
        <family val="1"/>
      </rPr>
      <t>T</t>
    </r>
    <r>
      <rPr>
        <vertAlign val="subscript"/>
        <sz val="10"/>
        <rFont val="Cambria"/>
        <family val="1"/>
      </rPr>
      <t>S</t>
    </r>
    <r>
      <rPr>
        <vertAlign val="subscript"/>
        <sz val="10"/>
        <rFont val="ＭＳ Ｐゴシック"/>
        <family val="3"/>
        <charset val="128"/>
      </rPr>
      <t xml:space="preserve"> </t>
    </r>
    <r>
      <rPr>
        <sz val="10"/>
        <rFont val="ＭＳ Ｐゴシック"/>
        <family val="3"/>
        <charset val="128"/>
      </rPr>
      <t>平均値</t>
    </r>
    <r>
      <rPr>
        <i/>
        <vertAlign val="subscript"/>
        <sz val="10"/>
        <rFont val="ＭＳ Ｐゴシック"/>
        <family val="3"/>
        <charset val="128"/>
      </rPr>
      <t xml:space="preserve"> </t>
    </r>
    <r>
      <rPr>
        <sz val="10"/>
        <rFont val="ＭＳ Ｐゴシック"/>
        <family val="3"/>
        <charset val="128"/>
      </rPr>
      <t xml:space="preserve">= </t>
    </r>
    <rPh sb="3" eb="6">
      <t>ヘイキンチ</t>
    </rPh>
    <phoneticPr fontId="3"/>
  </si>
  <si>
    <t>型　式</t>
    <rPh sb="0" eb="1">
      <t>カタ</t>
    </rPh>
    <rPh sb="2" eb="3">
      <t>シキ</t>
    </rPh>
    <phoneticPr fontId="3"/>
  </si>
  <si>
    <r>
      <rPr>
        <sz val="10"/>
        <color indexed="8"/>
        <rFont val="ＭＳ Ｐゴシック"/>
        <family val="3"/>
        <charset val="128"/>
      </rPr>
      <t>　連続処理能力</t>
    </r>
    <r>
      <rPr>
        <i/>
        <sz val="10"/>
        <color indexed="8"/>
        <rFont val="Cambria"/>
        <family val="1"/>
      </rPr>
      <t>V</t>
    </r>
    <r>
      <rPr>
        <vertAlign val="subscript"/>
        <sz val="10"/>
        <color indexed="8"/>
        <rFont val="Cambria"/>
        <family val="1"/>
      </rPr>
      <t xml:space="preserve">C </t>
    </r>
    <r>
      <rPr>
        <sz val="10"/>
        <color indexed="8"/>
        <rFont val="Cambria"/>
        <family val="1"/>
      </rPr>
      <t>[</t>
    </r>
    <r>
      <rPr>
        <sz val="10"/>
        <color indexed="8"/>
        <rFont val="ＭＳ Ｐゴシック"/>
        <family val="3"/>
        <charset val="128"/>
      </rPr>
      <t>枚</t>
    </r>
    <r>
      <rPr>
        <sz val="10"/>
        <color indexed="8"/>
        <rFont val="Cambria"/>
        <family val="1"/>
      </rPr>
      <t xml:space="preserve">/h] </t>
    </r>
    <r>
      <rPr>
        <sz val="10"/>
        <color indexed="8"/>
        <rFont val="ＭＳ Ｐゴシック"/>
        <family val="3"/>
        <charset val="128"/>
      </rPr>
      <t>は、コンベア種別ごとに規定する最大処理量</t>
    </r>
    <r>
      <rPr>
        <i/>
        <sz val="10"/>
        <color indexed="8"/>
        <rFont val="Cambria"/>
        <family val="1"/>
      </rPr>
      <t>V</t>
    </r>
    <r>
      <rPr>
        <vertAlign val="subscript"/>
        <sz val="10"/>
        <color indexed="8"/>
        <rFont val="Cambria"/>
        <family val="1"/>
      </rPr>
      <t xml:space="preserve">m </t>
    </r>
    <r>
      <rPr>
        <sz val="10"/>
        <color indexed="8"/>
        <rFont val="Cambria"/>
        <family val="1"/>
      </rPr>
      <t>[</t>
    </r>
    <r>
      <rPr>
        <sz val="10"/>
        <color indexed="8"/>
        <rFont val="ＭＳ Ｐゴシック"/>
        <family val="3"/>
        <charset val="128"/>
      </rPr>
      <t>枚</t>
    </r>
    <r>
      <rPr>
        <sz val="10"/>
        <color indexed="8"/>
        <rFont val="Cambria"/>
        <family val="1"/>
      </rPr>
      <t>/m]</t>
    </r>
    <r>
      <rPr>
        <sz val="10"/>
        <color indexed="8"/>
        <rFont val="ＭＳ Ｐゴシック"/>
        <family val="3"/>
        <charset val="128"/>
      </rPr>
      <t>（コンベアの長さ</t>
    </r>
    <r>
      <rPr>
        <sz val="10"/>
        <color indexed="8"/>
        <rFont val="Cambria"/>
        <family val="1"/>
      </rPr>
      <t xml:space="preserve">1 m </t>
    </r>
    <r>
      <rPr>
        <sz val="10"/>
        <color indexed="8"/>
        <rFont val="ＭＳ Ｐゴシック"/>
        <family val="3"/>
        <charset val="128"/>
      </rPr>
      <t>あたりの試験食器の枚数で表す。）</t>
    </r>
    <r>
      <rPr>
        <sz val="10"/>
        <color indexed="8"/>
        <rFont val="Cambria"/>
        <family val="1"/>
      </rPr>
      <t xml:space="preserve"> </t>
    </r>
    <r>
      <rPr>
        <sz val="10"/>
        <color indexed="8"/>
        <rFont val="ＭＳ Ｐゴシック"/>
        <family val="3"/>
        <charset val="128"/>
      </rPr>
      <t>によって、次式で計算する。</t>
    </r>
    <rPh sb="1" eb="3">
      <t>レンゾク</t>
    </rPh>
    <rPh sb="23" eb="24">
      <t>ベツ</t>
    </rPh>
    <phoneticPr fontId="3"/>
  </si>
  <si>
    <r>
      <t>■ラックコンベア洗浄機
　試験食器ラックは、幅500mm、奥行500mm の洗浄ラックで、試験食器の収納数が16 枚のものとする。試験食器は、陶磁器製の直径230mm の洋皿とする。最大処理量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[枚/m]は、32[枚/m] とする。
　ただし、製造者の専用食器籠を使用する場合には、最大処理量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[枚/m] は、専用食器籠の試験食器の収納数および専用食器籠の進行方向の長さから計算した枚数とする。この場合の試験食器は、メラミン樹脂製の直径180 mm 浅皿とする。</t>
    </r>
    <rPh sb="8" eb="11">
      <t>センジョウキ</t>
    </rPh>
    <phoneticPr fontId="3"/>
  </si>
  <si>
    <r>
      <t>■フライトコンベア洗浄機
　試験食器は、陶磁器製の直径230mm の洋皿とする。最大処理量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[枚/m]は、コンベア幅に並ぶ試験食器の枚数を立爪の間隔で除したものとする。</t>
    </r>
    <rPh sb="9" eb="12">
      <t>センジョウキ</t>
    </rPh>
    <phoneticPr fontId="3"/>
  </si>
  <si>
    <r>
      <t>■フラットコンベア洗浄機
　試験食器は、陶磁器製の直径180mm浅皿とする。最大処理量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[枚/m]は、試験食器の平面投影面積がコンベアの洗浄面積の60%になる枚数とする。</t>
    </r>
    <rPh sb="9" eb="12">
      <t>センジョウキ</t>
    </rPh>
    <phoneticPr fontId="3"/>
  </si>
  <si>
    <r>
      <rPr>
        <i/>
        <sz val="10"/>
        <rFont val="Cambria"/>
        <family val="1"/>
      </rPr>
      <t>m</t>
    </r>
    <r>
      <rPr>
        <vertAlign val="subscript"/>
        <sz val="10"/>
        <rFont val="Cambria"/>
        <family val="1"/>
      </rPr>
      <t>d</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試験食器の重量(kg/枚)</t>
    </r>
    <rPh sb="5" eb="7">
      <t>シケン</t>
    </rPh>
    <rPh sb="7" eb="9">
      <t>ショッキ</t>
    </rPh>
    <rPh sb="10" eb="12">
      <t>ジュウリョウ</t>
    </rPh>
    <rPh sb="16" eb="17">
      <t>マイ</t>
    </rPh>
    <phoneticPr fontId="3"/>
  </si>
  <si>
    <r>
      <rPr>
        <i/>
        <sz val="10"/>
        <rFont val="Cambria"/>
        <family val="1"/>
      </rPr>
      <t>C</t>
    </r>
    <r>
      <rPr>
        <vertAlign val="subscript"/>
        <sz val="10"/>
        <rFont val="Cambria"/>
        <family val="1"/>
      </rPr>
      <t>d</t>
    </r>
    <r>
      <rPr>
        <sz val="10"/>
        <rFont val="ＭＳ Ｐゴシック"/>
        <family val="3"/>
        <charset val="128"/>
      </rPr>
      <t xml:space="preserve"> ： 試験食器の比熱　1kJ/kg℃</t>
    </r>
    <rPh sb="5" eb="7">
      <t>シケン</t>
    </rPh>
    <rPh sb="7" eb="9">
      <t>ショッキ</t>
    </rPh>
    <rPh sb="10" eb="12">
      <t>ヒネツ</t>
    </rPh>
    <phoneticPr fontId="3"/>
  </si>
  <si>
    <r>
      <rPr>
        <i/>
        <sz val="10"/>
        <color indexed="8"/>
        <rFont val="Cambria"/>
        <family val="1"/>
      </rPr>
      <t>V</t>
    </r>
    <r>
      <rPr>
        <vertAlign val="subscript"/>
        <sz val="10"/>
        <color indexed="8"/>
        <rFont val="Cambria"/>
        <family val="1"/>
      </rPr>
      <t>m</t>
    </r>
    <r>
      <rPr>
        <sz val="10"/>
        <color indexed="8"/>
        <rFont val="ＭＳ Ｐゴシック"/>
        <family val="3"/>
        <charset val="128"/>
      </rPr>
      <t xml:space="preserve"> ： 最大処理量 [枚/m]</t>
    </r>
    <rPh sb="5" eb="7">
      <t>サイダイ</t>
    </rPh>
    <rPh sb="7" eb="9">
      <t>ショリ</t>
    </rPh>
    <rPh sb="9" eb="10">
      <t>リョウ</t>
    </rPh>
    <phoneticPr fontId="3"/>
  </si>
  <si>
    <r>
      <rPr>
        <i/>
        <sz val="10"/>
        <color indexed="8"/>
        <rFont val="Cambria"/>
        <family val="1"/>
      </rPr>
      <t>S</t>
    </r>
    <r>
      <rPr>
        <vertAlign val="subscript"/>
        <sz val="10"/>
        <color indexed="8"/>
        <rFont val="Cambria"/>
        <family val="1"/>
      </rPr>
      <t>c</t>
    </r>
    <r>
      <rPr>
        <sz val="10"/>
        <color indexed="8"/>
        <rFont val="Cambria"/>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試験機器の標準コンベア速度[m/min]</t>
    </r>
    <rPh sb="5" eb="7">
      <t>シケン</t>
    </rPh>
    <rPh sb="7" eb="9">
      <t>キキ</t>
    </rPh>
    <rPh sb="10" eb="12">
      <t>ヒョウジュン</t>
    </rPh>
    <rPh sb="16" eb="18">
      <t>ソクド</t>
    </rPh>
    <phoneticPr fontId="3"/>
  </si>
  <si>
    <r>
      <rPr>
        <i/>
        <sz val="10"/>
        <color indexed="8"/>
        <rFont val="Cambria"/>
        <family val="1"/>
      </rPr>
      <t>V</t>
    </r>
    <r>
      <rPr>
        <vertAlign val="subscript"/>
        <sz val="10"/>
        <color indexed="8"/>
        <rFont val="Cambria"/>
        <family val="1"/>
      </rPr>
      <t>c</t>
    </r>
    <r>
      <rPr>
        <sz val="10"/>
        <color indexed="8"/>
        <rFont val="Cambria"/>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連続処理能力</t>
    </r>
    <r>
      <rPr>
        <sz val="10"/>
        <color indexed="8"/>
        <rFont val="Century"/>
        <family val="1"/>
      </rPr>
      <t xml:space="preserve"> [</t>
    </r>
    <r>
      <rPr>
        <sz val="10"/>
        <color indexed="8"/>
        <rFont val="ＭＳ Ｐゴシック"/>
        <family val="3"/>
        <charset val="128"/>
      </rPr>
      <t>枚/h</t>
    </r>
    <r>
      <rPr>
        <sz val="10"/>
        <color indexed="8"/>
        <rFont val="Century"/>
        <family val="1"/>
      </rPr>
      <t>]</t>
    </r>
    <rPh sb="5" eb="7">
      <t>レンゾク</t>
    </rPh>
    <rPh sb="7" eb="9">
      <t>ショリ</t>
    </rPh>
    <rPh sb="9" eb="11">
      <t>ノウリョク</t>
    </rPh>
    <rPh sb="13" eb="14">
      <t>マイ</t>
    </rPh>
    <phoneticPr fontId="3"/>
  </si>
  <si>
    <r>
      <t>V</t>
    </r>
    <r>
      <rPr>
        <vertAlign val="subscript"/>
        <sz val="10"/>
        <rFont val="Cambria"/>
        <family val="1"/>
      </rPr>
      <t>m</t>
    </r>
    <r>
      <rPr>
        <sz val="10"/>
        <rFont val="Cambria"/>
        <family val="1"/>
      </rPr>
      <t xml:space="preserve"> =</t>
    </r>
    <phoneticPr fontId="3"/>
  </si>
  <si>
    <r>
      <t>S</t>
    </r>
    <r>
      <rPr>
        <vertAlign val="subscript"/>
        <sz val="10"/>
        <rFont val="Cambria"/>
        <family val="1"/>
      </rPr>
      <t>C</t>
    </r>
    <r>
      <rPr>
        <sz val="10"/>
        <rFont val="Cambria"/>
        <family val="1"/>
      </rPr>
      <t xml:space="preserve"> =</t>
    </r>
    <phoneticPr fontId="3"/>
  </si>
  <si>
    <r>
      <rPr>
        <i/>
        <sz val="14"/>
        <rFont val="Cambria"/>
        <family val="1"/>
      </rPr>
      <t>V</t>
    </r>
    <r>
      <rPr>
        <vertAlign val="subscript"/>
        <sz val="14"/>
        <rFont val="Cambria"/>
        <family val="1"/>
      </rPr>
      <t>C</t>
    </r>
    <r>
      <rPr>
        <sz val="10"/>
        <rFont val="Cambria"/>
        <family val="1"/>
      </rPr>
      <t xml:space="preserve"> =</t>
    </r>
    <phoneticPr fontId="3"/>
  </si>
  <si>
    <r>
      <rPr>
        <i/>
        <sz val="10"/>
        <color indexed="8"/>
        <rFont val="Cambria"/>
        <family val="1"/>
      </rPr>
      <t>S</t>
    </r>
    <r>
      <rPr>
        <vertAlign val="subscript"/>
        <sz val="10"/>
        <color indexed="8"/>
        <rFont val="Cambria"/>
        <family val="1"/>
      </rPr>
      <t>c</t>
    </r>
    <r>
      <rPr>
        <sz val="10"/>
        <color indexed="8"/>
        <rFont val="Cambria"/>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試験機器の標準コンベア速度 [m/min]</t>
    </r>
    <rPh sb="5" eb="7">
      <t>シケン</t>
    </rPh>
    <rPh sb="7" eb="9">
      <t>キキ</t>
    </rPh>
    <rPh sb="10" eb="12">
      <t>ヒョウジュン</t>
    </rPh>
    <rPh sb="16" eb="18">
      <t>ソクド</t>
    </rPh>
    <phoneticPr fontId="3"/>
  </si>
  <si>
    <r>
      <rPr>
        <i/>
        <sz val="10"/>
        <color indexed="8"/>
        <rFont val="Cambria"/>
        <family val="1"/>
      </rPr>
      <t>V</t>
    </r>
    <r>
      <rPr>
        <vertAlign val="subscript"/>
        <sz val="10"/>
        <color indexed="8"/>
        <rFont val="Cambria"/>
        <family val="1"/>
      </rPr>
      <t>m</t>
    </r>
    <r>
      <rPr>
        <sz val="10"/>
        <color indexed="8"/>
        <rFont val="Cambria"/>
        <family val="1"/>
      </rPr>
      <t xml:space="preserve"> </t>
    </r>
    <r>
      <rPr>
        <sz val="10"/>
        <color indexed="8"/>
        <rFont val="ＭＳ Ｐゴシック"/>
        <family val="3"/>
        <charset val="128"/>
      </rPr>
      <t>： 最大処理量 [枚/m]</t>
    </r>
    <rPh sb="5" eb="7">
      <t>サイダイ</t>
    </rPh>
    <rPh sb="7" eb="9">
      <t>ショリ</t>
    </rPh>
    <rPh sb="9" eb="10">
      <t>リョウ</t>
    </rPh>
    <phoneticPr fontId="3"/>
  </si>
  <si>
    <r>
      <rPr>
        <i/>
        <sz val="10"/>
        <color indexed="8"/>
        <rFont val="Cambria"/>
        <family val="1"/>
      </rPr>
      <t>S</t>
    </r>
    <r>
      <rPr>
        <vertAlign val="subscript"/>
        <sz val="10"/>
        <color indexed="8"/>
        <rFont val="Cambria"/>
        <family val="1"/>
      </rPr>
      <t>c</t>
    </r>
    <r>
      <rPr>
        <sz val="10"/>
        <color indexed="8"/>
        <rFont val="Century"/>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試験機器の標準コンベア速度 [m/min]</t>
    </r>
    <rPh sb="5" eb="7">
      <t>シケン</t>
    </rPh>
    <rPh sb="7" eb="9">
      <t>キキ</t>
    </rPh>
    <rPh sb="10" eb="12">
      <t>ヒョウジュン</t>
    </rPh>
    <rPh sb="16" eb="18">
      <t>ソクド</t>
    </rPh>
    <phoneticPr fontId="3"/>
  </si>
  <si>
    <r>
      <rPr>
        <sz val="10.5"/>
        <rFont val="ＭＳ Ｐゴシック"/>
        <family val="3"/>
        <charset val="128"/>
      </rPr>
      <t>ただし、ガスを加熱用熱源として使用していないタンクの貯湯量</t>
    </r>
    <r>
      <rPr>
        <i/>
        <sz val="10.5"/>
        <rFont val="Cambria"/>
        <family val="1"/>
      </rPr>
      <t>W</t>
    </r>
    <r>
      <rPr>
        <vertAlign val="subscript"/>
        <sz val="10.5"/>
        <rFont val="ＭＳ Ｐゴシック"/>
        <family val="3"/>
        <charset val="128"/>
      </rPr>
      <t>（</t>
    </r>
    <r>
      <rPr>
        <vertAlign val="subscript"/>
        <sz val="10.5"/>
        <rFont val="Cambria"/>
        <family val="1"/>
      </rPr>
      <t>X</t>
    </r>
    <r>
      <rPr>
        <vertAlign val="subscript"/>
        <sz val="10.5"/>
        <rFont val="ＭＳ Ｐゴシック"/>
        <family val="3"/>
        <charset val="128"/>
      </rPr>
      <t>）</t>
    </r>
    <r>
      <rPr>
        <sz val="10.5"/>
        <rFont val="ＭＳ Ｐゴシック"/>
        <family val="3"/>
        <charset val="128"/>
      </rPr>
      <t>は</t>
    </r>
    <r>
      <rPr>
        <i/>
        <sz val="10.5"/>
        <rFont val="Cambria"/>
        <family val="1"/>
      </rPr>
      <t>W</t>
    </r>
    <r>
      <rPr>
        <vertAlign val="subscript"/>
        <sz val="10.5"/>
        <rFont val="ＭＳ Ｐゴシック"/>
        <family val="3"/>
        <charset val="128"/>
      </rPr>
      <t>（</t>
    </r>
    <r>
      <rPr>
        <vertAlign val="subscript"/>
        <sz val="10.5"/>
        <rFont val="Cambria"/>
        <family val="1"/>
      </rPr>
      <t>X</t>
    </r>
    <r>
      <rPr>
        <vertAlign val="subscript"/>
        <sz val="10.5"/>
        <rFont val="ＭＳ Ｐゴシック"/>
        <family val="3"/>
        <charset val="128"/>
      </rPr>
      <t>）</t>
    </r>
    <r>
      <rPr>
        <sz val="10.5"/>
        <rFont val="Cambria"/>
        <family val="1"/>
      </rPr>
      <t>=0</t>
    </r>
    <r>
      <rPr>
        <sz val="10.5"/>
        <rFont val="ＭＳ Ｐゴシック"/>
        <family val="3"/>
        <charset val="128"/>
      </rPr>
      <t>とする。</t>
    </r>
    <phoneticPr fontId="3"/>
  </si>
  <si>
    <r>
      <t xml:space="preserve"> θ</t>
    </r>
    <r>
      <rPr>
        <i/>
        <vertAlign val="subscript"/>
        <sz val="10"/>
        <rFont val="Cambria"/>
        <family val="1"/>
      </rPr>
      <t>s</t>
    </r>
    <r>
      <rPr>
        <sz val="10"/>
        <rFont val="Cambria"/>
        <family val="1"/>
      </rPr>
      <t xml:space="preserve"> = </t>
    </r>
    <phoneticPr fontId="3"/>
  </si>
  <si>
    <r>
      <rPr>
        <i/>
        <sz val="10"/>
        <rFont val="Cambria"/>
        <family val="1"/>
      </rPr>
      <t>θ</t>
    </r>
    <r>
      <rPr>
        <vertAlign val="subscript"/>
        <sz val="10"/>
        <rFont val="Cambria"/>
        <family val="1"/>
      </rPr>
      <t xml:space="preserve">fp </t>
    </r>
    <r>
      <rPr>
        <sz val="10"/>
        <rFont val="ＭＳ Ｐゴシック"/>
        <family val="3"/>
        <charset val="128"/>
      </rPr>
      <t>：</t>
    </r>
    <r>
      <rPr>
        <sz val="10"/>
        <rFont val="Cambria"/>
        <family val="1"/>
      </rPr>
      <t xml:space="preserve"> </t>
    </r>
    <r>
      <rPr>
        <sz val="10"/>
        <rFont val="ＭＳ Ｐゴシック"/>
        <family val="3"/>
        <charset val="128"/>
      </rPr>
      <t>予備洗浄タンクの最終到達温度</t>
    </r>
    <r>
      <rPr>
        <sz val="10"/>
        <rFont val="Century"/>
        <family val="1"/>
      </rPr>
      <t>[</t>
    </r>
    <r>
      <rPr>
        <sz val="10"/>
        <rFont val="ＭＳ Ｐゴシック"/>
        <family val="3"/>
        <charset val="128"/>
      </rPr>
      <t>℃</t>
    </r>
    <r>
      <rPr>
        <sz val="10"/>
        <rFont val="Century"/>
        <family val="1"/>
      </rPr>
      <t>]</t>
    </r>
    <rPh sb="6" eb="8">
      <t>ヨビ</t>
    </rPh>
    <rPh sb="8" eb="10">
      <t>センジョウ</t>
    </rPh>
    <rPh sb="14" eb="16">
      <t>サイシュウ</t>
    </rPh>
    <rPh sb="16" eb="18">
      <t>トウタツ</t>
    </rPh>
    <rPh sb="18" eb="20">
      <t>オンド</t>
    </rPh>
    <phoneticPr fontId="3"/>
  </si>
  <si>
    <r>
      <t xml:space="preserve"> θ</t>
    </r>
    <r>
      <rPr>
        <vertAlign val="subscript"/>
        <sz val="10"/>
        <rFont val="Cambria"/>
        <family val="1"/>
      </rPr>
      <t>ff</t>
    </r>
    <r>
      <rPr>
        <sz val="10"/>
        <rFont val="Cambria"/>
        <family val="1"/>
      </rPr>
      <t xml:space="preserve"> = </t>
    </r>
    <phoneticPr fontId="3"/>
  </si>
  <si>
    <r>
      <t xml:space="preserve"> θ</t>
    </r>
    <r>
      <rPr>
        <vertAlign val="subscript"/>
        <sz val="10"/>
        <rFont val="Cambria"/>
        <family val="1"/>
      </rPr>
      <t>fp</t>
    </r>
    <r>
      <rPr>
        <sz val="10"/>
        <rFont val="Cambria"/>
        <family val="1"/>
      </rPr>
      <t xml:space="preserve">= </t>
    </r>
    <phoneticPr fontId="3"/>
  </si>
  <si>
    <r>
      <t xml:space="preserve"> θ</t>
    </r>
    <r>
      <rPr>
        <vertAlign val="subscript"/>
        <sz val="10"/>
        <rFont val="Cambria"/>
        <family val="1"/>
      </rPr>
      <t>fm</t>
    </r>
    <r>
      <rPr>
        <sz val="10"/>
        <rFont val="Cambria"/>
        <family val="1"/>
      </rPr>
      <t xml:space="preserve">= </t>
    </r>
    <phoneticPr fontId="3"/>
  </si>
  <si>
    <r>
      <t xml:space="preserve"> θ</t>
    </r>
    <r>
      <rPr>
        <vertAlign val="subscript"/>
        <sz val="10"/>
        <rFont val="Cambria"/>
        <family val="1"/>
      </rPr>
      <t>fr</t>
    </r>
    <r>
      <rPr>
        <sz val="10"/>
        <rFont val="Cambria"/>
        <family val="1"/>
      </rPr>
      <t xml:space="preserve">= </t>
    </r>
    <phoneticPr fontId="3"/>
  </si>
  <si>
    <r>
      <t>W</t>
    </r>
    <r>
      <rPr>
        <vertAlign val="subscript"/>
        <sz val="10"/>
        <rFont val="Cambria"/>
        <family val="1"/>
      </rPr>
      <t>p</t>
    </r>
    <r>
      <rPr>
        <sz val="10"/>
        <rFont val="Cambria"/>
        <family val="1"/>
      </rPr>
      <t xml:space="preserve"> = </t>
    </r>
    <phoneticPr fontId="3"/>
  </si>
  <si>
    <r>
      <t>W</t>
    </r>
    <r>
      <rPr>
        <vertAlign val="subscript"/>
        <sz val="10"/>
        <rFont val="Cambria"/>
        <family val="1"/>
      </rPr>
      <t>m</t>
    </r>
    <r>
      <rPr>
        <sz val="10"/>
        <rFont val="Cambria"/>
        <family val="1"/>
      </rPr>
      <t xml:space="preserve"> = </t>
    </r>
    <phoneticPr fontId="3"/>
  </si>
  <si>
    <r>
      <t>W</t>
    </r>
    <r>
      <rPr>
        <vertAlign val="subscript"/>
        <sz val="10"/>
        <rFont val="Cambria"/>
        <family val="1"/>
      </rPr>
      <t>r</t>
    </r>
    <r>
      <rPr>
        <sz val="10"/>
        <rFont val="Cambria"/>
        <family val="1"/>
      </rPr>
      <t xml:space="preserve"> = </t>
    </r>
    <phoneticPr fontId="3"/>
  </si>
  <si>
    <r>
      <rPr>
        <i/>
        <sz val="10"/>
        <rFont val="Cambria"/>
        <family val="1"/>
      </rPr>
      <t>θ</t>
    </r>
    <r>
      <rPr>
        <vertAlign val="subscript"/>
        <sz val="10"/>
        <rFont val="Cambria"/>
        <family val="1"/>
      </rPr>
      <t>ff</t>
    </r>
    <r>
      <rPr>
        <i/>
        <vertAlign val="subscript"/>
        <sz val="10"/>
        <rFont val="Cambria"/>
        <family val="1"/>
      </rPr>
      <t xml:space="preserve"> </t>
    </r>
    <r>
      <rPr>
        <sz val="10"/>
        <rFont val="ＭＳ Ｐゴシック"/>
        <family val="3"/>
        <charset val="128"/>
      </rPr>
      <t>： 洗浄タンクの最終到達温度</t>
    </r>
    <r>
      <rPr>
        <sz val="10"/>
        <rFont val="Century"/>
        <family val="1"/>
      </rPr>
      <t>[</t>
    </r>
    <r>
      <rPr>
        <sz val="10"/>
        <rFont val="ＭＳ Ｐゴシック"/>
        <family val="3"/>
        <charset val="128"/>
      </rPr>
      <t>℃</t>
    </r>
    <r>
      <rPr>
        <sz val="10"/>
        <rFont val="Century"/>
        <family val="1"/>
      </rPr>
      <t>]</t>
    </r>
    <rPh sb="6" eb="8">
      <t>センジョウ</t>
    </rPh>
    <rPh sb="12" eb="14">
      <t>サイシュウ</t>
    </rPh>
    <rPh sb="14" eb="16">
      <t>トウタツ</t>
    </rPh>
    <rPh sb="16" eb="18">
      <t>オンド</t>
    </rPh>
    <phoneticPr fontId="3"/>
  </si>
  <si>
    <r>
      <rPr>
        <i/>
        <sz val="10"/>
        <rFont val="Cambria"/>
        <family val="1"/>
      </rPr>
      <t>θ</t>
    </r>
    <r>
      <rPr>
        <vertAlign val="subscript"/>
        <sz val="10"/>
        <rFont val="Cambria"/>
        <family val="1"/>
      </rPr>
      <t xml:space="preserve">fm </t>
    </r>
    <r>
      <rPr>
        <sz val="10"/>
        <rFont val="ＭＳ Ｐゴシック"/>
        <family val="3"/>
        <charset val="128"/>
      </rPr>
      <t>：</t>
    </r>
    <r>
      <rPr>
        <sz val="10"/>
        <rFont val="Cambria"/>
        <family val="1"/>
      </rPr>
      <t xml:space="preserve"> </t>
    </r>
    <r>
      <rPr>
        <sz val="10"/>
        <rFont val="ＭＳ Ｐゴシック"/>
        <family val="3"/>
        <charset val="128"/>
      </rPr>
      <t>循環すすぎタンクの最終到達温度</t>
    </r>
    <r>
      <rPr>
        <sz val="10"/>
        <rFont val="Century"/>
        <family val="1"/>
      </rPr>
      <t>[</t>
    </r>
    <r>
      <rPr>
        <sz val="10"/>
        <rFont val="ＭＳ Ｐゴシック"/>
        <family val="3"/>
        <charset val="128"/>
      </rPr>
      <t>℃</t>
    </r>
    <r>
      <rPr>
        <sz val="10"/>
        <rFont val="Century"/>
        <family val="1"/>
      </rPr>
      <t>]</t>
    </r>
    <rPh sb="6" eb="8">
      <t>ジュンカン</t>
    </rPh>
    <rPh sb="15" eb="17">
      <t>サイシュウ</t>
    </rPh>
    <rPh sb="17" eb="19">
      <t>トウタツ</t>
    </rPh>
    <rPh sb="19" eb="21">
      <t>オンド</t>
    </rPh>
    <phoneticPr fontId="3"/>
  </si>
  <si>
    <r>
      <rPr>
        <i/>
        <sz val="10"/>
        <rFont val="Cambria"/>
        <family val="1"/>
      </rPr>
      <t>θ</t>
    </r>
    <r>
      <rPr>
        <vertAlign val="subscript"/>
        <sz val="10"/>
        <rFont val="Cambria"/>
        <family val="1"/>
      </rPr>
      <t xml:space="preserve">fr </t>
    </r>
    <r>
      <rPr>
        <sz val="10"/>
        <rFont val="ＭＳ Ｐゴシック"/>
        <family val="3"/>
        <charset val="128"/>
      </rPr>
      <t>：</t>
    </r>
    <r>
      <rPr>
        <sz val="10"/>
        <rFont val="Cambria"/>
        <family val="1"/>
      </rPr>
      <t xml:space="preserve"> </t>
    </r>
    <r>
      <rPr>
        <sz val="10"/>
        <rFont val="ＭＳ Ｐゴシック"/>
        <family val="3"/>
        <charset val="128"/>
      </rPr>
      <t>仕上げすすぎタンクの最終到達温度</t>
    </r>
    <r>
      <rPr>
        <sz val="10"/>
        <rFont val="Century"/>
        <family val="1"/>
      </rPr>
      <t>[</t>
    </r>
    <r>
      <rPr>
        <sz val="10"/>
        <rFont val="ＭＳ Ｐゴシック"/>
        <family val="3"/>
        <charset val="128"/>
      </rPr>
      <t>℃</t>
    </r>
    <r>
      <rPr>
        <sz val="10"/>
        <rFont val="Century"/>
        <family val="1"/>
      </rPr>
      <t>]</t>
    </r>
    <rPh sb="6" eb="8">
      <t>シア</t>
    </rPh>
    <rPh sb="16" eb="18">
      <t>サイシュウ</t>
    </rPh>
    <rPh sb="18" eb="20">
      <t>トウタツ</t>
    </rPh>
    <rPh sb="20" eb="22">
      <t>オンド</t>
    </rPh>
    <phoneticPr fontId="3"/>
  </si>
  <si>
    <r>
      <rPr>
        <i/>
        <sz val="10"/>
        <rFont val="Cambria"/>
        <family val="1"/>
      </rPr>
      <t>W</t>
    </r>
    <r>
      <rPr>
        <vertAlign val="subscript"/>
        <sz val="10"/>
        <rFont val="Cambria"/>
        <family val="1"/>
      </rPr>
      <t>p</t>
    </r>
    <r>
      <rPr>
        <sz val="10"/>
        <rFont val="Cambria"/>
        <family val="1"/>
      </rPr>
      <t xml:space="preserve"> : </t>
    </r>
    <r>
      <rPr>
        <sz val="10"/>
        <rFont val="ＭＳ Ｐゴシック"/>
        <family val="3"/>
        <charset val="128"/>
      </rPr>
      <t>予備洗浄タンクの貯湯量[ℓ/回]</t>
    </r>
    <rPh sb="5" eb="7">
      <t>ヨビ</t>
    </rPh>
    <rPh sb="7" eb="9">
      <t>センジョウ</t>
    </rPh>
    <rPh sb="19" eb="20">
      <t>カイ</t>
    </rPh>
    <phoneticPr fontId="3"/>
  </si>
  <si>
    <r>
      <rPr>
        <i/>
        <sz val="10"/>
        <rFont val="Cambria"/>
        <family val="1"/>
      </rPr>
      <t>W</t>
    </r>
    <r>
      <rPr>
        <vertAlign val="subscript"/>
        <sz val="10"/>
        <rFont val="Cambria"/>
        <family val="1"/>
      </rPr>
      <t>f</t>
    </r>
    <r>
      <rPr>
        <sz val="10"/>
        <rFont val="Cambria"/>
        <family val="1"/>
      </rPr>
      <t xml:space="preserve"> : </t>
    </r>
    <r>
      <rPr>
        <sz val="10"/>
        <rFont val="ＭＳ Ｐゴシック"/>
        <family val="3"/>
        <charset val="128"/>
      </rPr>
      <t>洗浄タンクの貯湯量[ℓ/回]</t>
    </r>
    <rPh sb="5" eb="7">
      <t>センジョウ</t>
    </rPh>
    <rPh sb="17" eb="18">
      <t>カイ</t>
    </rPh>
    <phoneticPr fontId="3"/>
  </si>
  <si>
    <r>
      <rPr>
        <i/>
        <sz val="10"/>
        <rFont val="Cambria"/>
        <family val="1"/>
      </rPr>
      <t>W</t>
    </r>
    <r>
      <rPr>
        <vertAlign val="subscript"/>
        <sz val="10"/>
        <rFont val="Cambria"/>
        <family val="1"/>
      </rPr>
      <t>r</t>
    </r>
    <r>
      <rPr>
        <sz val="10"/>
        <rFont val="Cambria"/>
        <family val="1"/>
      </rPr>
      <t xml:space="preserve"> :</t>
    </r>
    <r>
      <rPr>
        <sz val="10"/>
        <rFont val="ＭＳ Ｐゴシック"/>
        <family val="3"/>
        <charset val="128"/>
      </rPr>
      <t xml:space="preserve"> 仕上げすすぎタンクの貯湯量[ℓ/回]</t>
    </r>
    <rPh sb="5" eb="7">
      <t>シア</t>
    </rPh>
    <rPh sb="21" eb="22">
      <t>カイ</t>
    </rPh>
    <phoneticPr fontId="3"/>
  </si>
  <si>
    <r>
      <rPr>
        <i/>
        <sz val="10"/>
        <rFont val="Cambria"/>
        <family val="1"/>
      </rPr>
      <t>P</t>
    </r>
    <r>
      <rPr>
        <vertAlign val="subscript"/>
        <sz val="10"/>
        <rFont val="Cambria"/>
        <family val="1"/>
      </rPr>
      <t>sG</t>
    </r>
    <r>
      <rPr>
        <sz val="10"/>
        <rFont val="Cambria"/>
        <family val="1"/>
      </rPr>
      <t xml:space="preserve"> </t>
    </r>
    <r>
      <rPr>
        <sz val="10"/>
        <rFont val="ＭＳ Ｐゴシック"/>
        <family val="3"/>
        <charset val="128"/>
      </rPr>
      <t>：　ガス消費量[kWh/回]</t>
    </r>
    <rPh sb="8" eb="10">
      <t>ショウヒ</t>
    </rPh>
    <phoneticPr fontId="3"/>
  </si>
  <si>
    <r>
      <rPr>
        <i/>
        <sz val="10"/>
        <rFont val="Cambria"/>
        <family val="1"/>
      </rPr>
      <t>Q</t>
    </r>
    <r>
      <rPr>
        <vertAlign val="subscript"/>
        <sz val="10"/>
        <rFont val="Cambria"/>
        <family val="1"/>
      </rPr>
      <t>sG</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立上り時ガス消費量[kWh/回]</t>
    </r>
    <rPh sb="12" eb="14">
      <t>ショウヒ</t>
    </rPh>
    <rPh sb="20" eb="21">
      <t>カイ</t>
    </rPh>
    <phoneticPr fontId="3"/>
  </si>
  <si>
    <r>
      <t xml:space="preserve"> P</t>
    </r>
    <r>
      <rPr>
        <vertAlign val="subscript"/>
        <sz val="10"/>
        <rFont val="Cambria"/>
        <family val="1"/>
      </rPr>
      <t>sG</t>
    </r>
    <r>
      <rPr>
        <i/>
        <sz val="10"/>
        <rFont val="Cambria"/>
        <family val="1"/>
      </rPr>
      <t xml:space="preserve"> </t>
    </r>
    <r>
      <rPr>
        <sz val="10"/>
        <rFont val="Cambria"/>
        <family val="1"/>
      </rPr>
      <t xml:space="preserve">= </t>
    </r>
    <phoneticPr fontId="3"/>
  </si>
  <si>
    <r>
      <t>Q</t>
    </r>
    <r>
      <rPr>
        <vertAlign val="subscript"/>
        <sz val="10"/>
        <rFont val="Cambria"/>
        <family val="1"/>
      </rPr>
      <t xml:space="preserve">sG </t>
    </r>
    <r>
      <rPr>
        <vertAlign val="subscript"/>
        <sz val="10"/>
        <rFont val="ＭＳ Ｐゴシック"/>
        <family val="3"/>
        <charset val="128"/>
      </rPr>
      <t>　</t>
    </r>
    <r>
      <rPr>
        <sz val="10"/>
        <rFont val="Cambria"/>
        <family val="1"/>
      </rPr>
      <t>=</t>
    </r>
    <r>
      <rPr>
        <sz val="10"/>
        <rFont val="ＭＳ Ｐゴシック"/>
        <family val="3"/>
        <charset val="128"/>
      </rPr>
      <t>　</t>
    </r>
    <phoneticPr fontId="3"/>
  </si>
  <si>
    <r>
      <rPr>
        <i/>
        <sz val="14"/>
        <rFont val="Cambria"/>
        <family val="1"/>
      </rPr>
      <t>Q</t>
    </r>
    <r>
      <rPr>
        <vertAlign val="subscript"/>
        <sz val="14"/>
        <rFont val="Cambria"/>
        <family val="1"/>
      </rPr>
      <t>sG</t>
    </r>
    <r>
      <rPr>
        <vertAlign val="subscript"/>
        <sz val="14"/>
        <rFont val="ＭＳ Ｐ明朝"/>
        <family val="1"/>
        <charset val="128"/>
      </rPr>
      <t>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t>
    </r>
    <rPh sb="4" eb="7">
      <t>ヘイキンチ</t>
    </rPh>
    <phoneticPr fontId="3"/>
  </si>
  <si>
    <r>
      <rPr>
        <sz val="10.5"/>
        <rFont val="ＭＳ Ｐゴシック"/>
        <family val="3"/>
        <charset val="128"/>
      </rPr>
      <t>ただし、電気を加熱用熱源として使用していないタンクの貯湯量</t>
    </r>
    <r>
      <rPr>
        <sz val="10.5"/>
        <rFont val="Cambria"/>
        <family val="1"/>
      </rPr>
      <t>W</t>
    </r>
    <r>
      <rPr>
        <vertAlign val="subscript"/>
        <sz val="10.5"/>
        <rFont val="ＭＳ Ｐゴシック"/>
        <family val="3"/>
        <charset val="128"/>
      </rPr>
      <t>（</t>
    </r>
    <r>
      <rPr>
        <vertAlign val="subscript"/>
        <sz val="10.5"/>
        <rFont val="Cambria"/>
        <family val="1"/>
      </rPr>
      <t>X</t>
    </r>
    <r>
      <rPr>
        <vertAlign val="subscript"/>
        <sz val="10.5"/>
        <rFont val="ＭＳ Ｐゴシック"/>
        <family val="3"/>
        <charset val="128"/>
      </rPr>
      <t>）</t>
    </r>
    <r>
      <rPr>
        <sz val="10.5"/>
        <rFont val="ＭＳ Ｐゴシック"/>
        <family val="3"/>
        <charset val="128"/>
      </rPr>
      <t>は</t>
    </r>
    <r>
      <rPr>
        <sz val="10.5"/>
        <rFont val="Cambria"/>
        <family val="1"/>
      </rPr>
      <t xml:space="preserve"> W</t>
    </r>
    <r>
      <rPr>
        <vertAlign val="subscript"/>
        <sz val="10.5"/>
        <rFont val="ＭＳ Ｐゴシック"/>
        <family val="3"/>
        <charset val="128"/>
      </rPr>
      <t>（</t>
    </r>
    <r>
      <rPr>
        <vertAlign val="subscript"/>
        <sz val="10.5"/>
        <rFont val="Cambria"/>
        <family val="1"/>
      </rPr>
      <t>X</t>
    </r>
    <r>
      <rPr>
        <vertAlign val="subscript"/>
        <sz val="10.5"/>
        <rFont val="ＭＳ Ｐゴシック"/>
        <family val="3"/>
        <charset val="128"/>
      </rPr>
      <t>）</t>
    </r>
    <r>
      <rPr>
        <sz val="10.5"/>
        <rFont val="Cambria"/>
        <family val="1"/>
      </rPr>
      <t>=0</t>
    </r>
    <r>
      <rPr>
        <sz val="10.5"/>
        <rFont val="ＭＳ Ｐゴシック"/>
        <family val="3"/>
        <charset val="128"/>
      </rPr>
      <t>とする。</t>
    </r>
    <phoneticPr fontId="3"/>
  </si>
  <si>
    <r>
      <t xml:space="preserve"> P</t>
    </r>
    <r>
      <rPr>
        <vertAlign val="subscript"/>
        <sz val="10"/>
        <rFont val="Cambria"/>
        <family val="1"/>
      </rPr>
      <t xml:space="preserve">sE </t>
    </r>
    <r>
      <rPr>
        <sz val="10"/>
        <rFont val="Cambria"/>
        <family val="1"/>
      </rPr>
      <t>=</t>
    </r>
    <phoneticPr fontId="3"/>
  </si>
  <si>
    <r>
      <t>Q</t>
    </r>
    <r>
      <rPr>
        <vertAlign val="subscript"/>
        <sz val="10"/>
        <rFont val="Cambria"/>
        <family val="1"/>
      </rPr>
      <t>sE</t>
    </r>
    <r>
      <rPr>
        <sz val="10"/>
        <rFont val="Cambria"/>
        <family val="1"/>
      </rPr>
      <t xml:space="preserve"> =</t>
    </r>
    <phoneticPr fontId="3"/>
  </si>
  <si>
    <r>
      <rPr>
        <i/>
        <sz val="14"/>
        <rFont val="Cambria"/>
        <family val="1"/>
      </rPr>
      <t>Q</t>
    </r>
    <r>
      <rPr>
        <vertAlign val="subscript"/>
        <sz val="14"/>
        <rFont val="Cambria"/>
        <family val="1"/>
      </rPr>
      <t>sE</t>
    </r>
    <r>
      <rPr>
        <sz val="10"/>
        <rFont val="Cambria"/>
        <family val="1"/>
      </rPr>
      <t xml:space="preserve"> </t>
    </r>
    <r>
      <rPr>
        <sz val="10"/>
        <rFont val="ＭＳ Ｐゴシック"/>
        <family val="3"/>
        <charset val="128"/>
      </rPr>
      <t>平均値=</t>
    </r>
    <rPh sb="4" eb="7">
      <t>ヘイキンチ</t>
    </rPh>
    <phoneticPr fontId="3"/>
  </si>
  <si>
    <r>
      <rPr>
        <i/>
        <sz val="10"/>
        <rFont val="Cambria"/>
        <family val="1"/>
      </rPr>
      <t>P</t>
    </r>
    <r>
      <rPr>
        <vertAlign val="subscript"/>
        <sz val="10"/>
        <rFont val="Cambria"/>
        <family val="1"/>
      </rPr>
      <t xml:space="preserve">sE </t>
    </r>
    <r>
      <rPr>
        <sz val="10"/>
        <rFont val="ＭＳ Ｐゴシック"/>
        <family val="3"/>
        <charset val="128"/>
      </rPr>
      <t>：立上り時消費電力量[kWh/回]</t>
    </r>
    <rPh sb="19" eb="20">
      <t>カイ</t>
    </rPh>
    <phoneticPr fontId="3"/>
  </si>
  <si>
    <r>
      <rPr>
        <i/>
        <sz val="10"/>
        <rFont val="Cambria"/>
        <family val="1"/>
      </rPr>
      <t>Q</t>
    </r>
    <r>
      <rPr>
        <vertAlign val="subscript"/>
        <sz val="10"/>
        <rFont val="Cambria"/>
        <family val="1"/>
      </rPr>
      <t xml:space="preserve">sE </t>
    </r>
    <r>
      <rPr>
        <sz val="10"/>
        <rFont val="ＭＳ Ｐゴシック"/>
        <family val="3"/>
        <charset val="128"/>
      </rPr>
      <t>：立上り時消費電力量[kWh/回]</t>
    </r>
    <rPh sb="19" eb="20">
      <t>カイ</t>
    </rPh>
    <phoneticPr fontId="3"/>
  </si>
  <si>
    <r>
      <t>W</t>
    </r>
    <r>
      <rPr>
        <vertAlign val="subscript"/>
        <sz val="10"/>
        <rFont val="Cambria"/>
        <family val="1"/>
      </rPr>
      <t xml:space="preserve">c </t>
    </r>
    <r>
      <rPr>
        <sz val="10"/>
        <rFont val="Cambria"/>
        <family val="1"/>
      </rPr>
      <t>=</t>
    </r>
    <phoneticPr fontId="3"/>
  </si>
  <si>
    <r>
      <t>T</t>
    </r>
    <r>
      <rPr>
        <vertAlign val="subscript"/>
        <sz val="10"/>
        <rFont val="Cambria"/>
        <family val="1"/>
      </rPr>
      <t xml:space="preserve">c0 </t>
    </r>
    <r>
      <rPr>
        <sz val="10"/>
        <rFont val="Cambria"/>
        <family val="1"/>
      </rPr>
      <t>=</t>
    </r>
    <phoneticPr fontId="3"/>
  </si>
  <si>
    <r>
      <t xml:space="preserve"> θ</t>
    </r>
    <r>
      <rPr>
        <vertAlign val="subscript"/>
        <sz val="10"/>
        <rFont val="Cambria"/>
        <family val="1"/>
      </rPr>
      <t>fr</t>
    </r>
    <r>
      <rPr>
        <sz val="10"/>
        <rFont val="Cambria"/>
        <family val="1"/>
      </rPr>
      <t xml:space="preserve"> = </t>
    </r>
    <phoneticPr fontId="3"/>
  </si>
  <si>
    <r>
      <rPr>
        <i/>
        <sz val="10"/>
        <rFont val="Cambria"/>
        <family val="1"/>
      </rPr>
      <t>T</t>
    </r>
    <r>
      <rPr>
        <vertAlign val="subscript"/>
        <sz val="10"/>
        <rFont val="Cambria"/>
        <family val="1"/>
      </rPr>
      <t xml:space="preserve">c0 </t>
    </r>
    <r>
      <rPr>
        <sz val="10"/>
        <rFont val="ＭＳ Ｐゴシック"/>
        <family val="3"/>
        <charset val="128"/>
      </rPr>
      <t>：</t>
    </r>
    <r>
      <rPr>
        <sz val="10"/>
        <rFont val="Cambria"/>
        <family val="1"/>
      </rPr>
      <t xml:space="preserve"> </t>
    </r>
    <r>
      <rPr>
        <sz val="10"/>
        <rFont val="ＭＳ Ｐゴシック"/>
        <family val="3"/>
        <charset val="128"/>
      </rPr>
      <t>エネルギー消費量の測定時間[min]</t>
    </r>
    <rPh sb="11" eb="14">
      <t>ショウヒリョウ</t>
    </rPh>
    <phoneticPr fontId="3"/>
  </si>
  <si>
    <r>
      <rPr>
        <i/>
        <sz val="10"/>
        <rFont val="Cambria"/>
        <family val="1"/>
      </rPr>
      <t>W</t>
    </r>
    <r>
      <rPr>
        <vertAlign val="subscript"/>
        <sz val="10"/>
        <rFont val="Cambria"/>
        <family val="1"/>
      </rPr>
      <t>c</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処理時給湯量[ℓ/h]</t>
    </r>
    <phoneticPr fontId="3"/>
  </si>
  <si>
    <r>
      <rPr>
        <i/>
        <sz val="10"/>
        <rFont val="Cambria"/>
        <family val="1"/>
      </rPr>
      <t>P</t>
    </r>
    <r>
      <rPr>
        <vertAlign val="subscript"/>
        <sz val="10"/>
        <rFont val="Cambria"/>
        <family val="1"/>
      </rPr>
      <t>c0G</t>
    </r>
    <r>
      <rPr>
        <sz val="10"/>
        <rFont val="Cambria"/>
        <family val="1"/>
      </rPr>
      <t xml:space="preserve"> </t>
    </r>
    <r>
      <rPr>
        <sz val="10"/>
        <rFont val="ＭＳ Ｐゴシック"/>
        <family val="3"/>
        <charset val="128"/>
      </rPr>
      <t>：試験食器なし洗浄試験時のガス消費量[kWh]</t>
    </r>
    <rPh sb="6" eb="8">
      <t>シケン</t>
    </rPh>
    <rPh sb="8" eb="10">
      <t>ショッキ</t>
    </rPh>
    <rPh sb="12" eb="14">
      <t>センジョウ</t>
    </rPh>
    <rPh sb="14" eb="16">
      <t>シケン</t>
    </rPh>
    <rPh sb="16" eb="17">
      <t>ジ</t>
    </rPh>
    <rPh sb="20" eb="23">
      <t>ショウヒリョウ</t>
    </rPh>
    <phoneticPr fontId="3"/>
  </si>
  <si>
    <r>
      <rPr>
        <i/>
        <sz val="10"/>
        <rFont val="Cambria"/>
        <family val="1"/>
      </rPr>
      <t>T</t>
    </r>
    <r>
      <rPr>
        <vertAlign val="subscript"/>
        <sz val="10"/>
        <rFont val="Cambria"/>
        <family val="1"/>
      </rPr>
      <t>c0</t>
    </r>
    <r>
      <rPr>
        <sz val="10"/>
        <rFont val="Cambria"/>
        <family val="1"/>
      </rPr>
      <t>=</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</si>
  <si>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</si>
  <si>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</si>
  <si>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</si>
  <si>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</si>
  <si>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</si>
  <si>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G</t>
    </r>
    <r>
      <rPr>
        <sz val="10"/>
        <rFont val="Cambria"/>
        <family val="1"/>
      </rPr>
      <t xml:space="preserve"> </t>
    </r>
    <r>
      <rPr>
        <sz val="10"/>
        <rFont val="ＭＳ Ｐゴシック"/>
        <family val="3"/>
        <charset val="128"/>
      </rPr>
      <t>： 測定時のガスメータ内のガス圧力[kPa]</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</si>
  <si>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測定時の大気圧[kPa]</t>
    </r>
    <phoneticPr fontId="3"/>
  </si>
  <si>
    <r>
      <rPr>
        <i/>
        <sz val="10"/>
        <rFont val="Cambria"/>
        <family val="1"/>
      </rPr>
      <t>θ</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測定時のガスメータ内のガス温度[℃]</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</si>
  <si>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Cambria"/>
        <family val="1"/>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</si>
  <si>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</si>
  <si>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T</t>
    </r>
    <r>
      <rPr>
        <vertAlign val="subscript"/>
        <sz val="10"/>
        <rFont val="Cambria"/>
        <family val="1"/>
      </rPr>
      <t>c0</t>
    </r>
    <r>
      <rPr>
        <sz val="10"/>
        <rFont val="ＭＳ Ｐゴシック"/>
        <family val="3"/>
        <charset val="128"/>
      </rPr>
      <t>：エネルギー消費量実測時間[s]</t>
    </r>
    <rPh sb="9" eb="12">
      <t>ショウヒリョウ</t>
    </rPh>
    <rPh sb="12" eb="14">
      <t>ジッソク</t>
    </rPh>
    <rPh sb="14" eb="16">
      <t>ジカン</t>
    </rPh>
    <phoneticPr fontId="3"/>
  </si>
  <si>
    <r>
      <rPr>
        <i/>
        <sz val="14"/>
        <rFont val="Cambria"/>
        <family val="1"/>
      </rPr>
      <t>Q</t>
    </r>
    <r>
      <rPr>
        <vertAlign val="subscript"/>
        <sz val="14"/>
        <rFont val="Cambria"/>
        <family val="1"/>
      </rPr>
      <t>c0G</t>
    </r>
    <r>
      <rPr>
        <sz val="10"/>
        <rFont val="Cambria"/>
        <family val="1"/>
      </rPr>
      <t xml:space="preserve"> </t>
    </r>
    <r>
      <rPr>
        <sz val="10"/>
        <rFont val="ＭＳ Ｐゴシック"/>
        <family val="3"/>
        <charset val="128"/>
      </rPr>
      <t>平均値=</t>
    </r>
    <rPh sb="5" eb="8">
      <t>ヘイキンチ</t>
    </rPh>
    <phoneticPr fontId="3"/>
  </si>
  <si>
    <r>
      <rPr>
        <i/>
        <sz val="10"/>
        <rFont val="Cambria"/>
        <family val="1"/>
      </rPr>
      <t>Q</t>
    </r>
    <r>
      <rPr>
        <vertAlign val="subscript"/>
        <sz val="10"/>
        <rFont val="Cambria"/>
        <family val="1"/>
      </rPr>
      <t>c0G</t>
    </r>
    <r>
      <rPr>
        <sz val="10"/>
        <rFont val="Cambria"/>
        <family val="1"/>
      </rPr>
      <t xml:space="preserve"> </t>
    </r>
    <r>
      <rPr>
        <sz val="10"/>
        <rFont val="ＭＳ Ｐゴシック"/>
        <family val="3"/>
        <charset val="128"/>
      </rPr>
      <t>：</t>
    </r>
    <r>
      <rPr>
        <sz val="9"/>
        <rFont val="ＭＳ Ｐゴシック"/>
        <family val="3"/>
        <charset val="128"/>
      </rPr>
      <t>試験食器なし洗浄試験時のガス消費量[kWh]</t>
    </r>
    <rPh sb="6" eb="8">
      <t>シケン</t>
    </rPh>
    <rPh sb="8" eb="10">
      <t>ショッキ</t>
    </rPh>
    <rPh sb="12" eb="14">
      <t>センジョウ</t>
    </rPh>
    <rPh sb="14" eb="16">
      <t>シケン</t>
    </rPh>
    <rPh sb="16" eb="17">
      <t>ジ</t>
    </rPh>
    <rPh sb="20" eb="23">
      <t>ショウヒリョウ</t>
    </rPh>
    <phoneticPr fontId="3"/>
  </si>
  <si>
    <r>
      <rPr>
        <i/>
        <sz val="10"/>
        <rFont val="Cambria"/>
        <family val="1"/>
      </rPr>
      <t>P</t>
    </r>
    <r>
      <rPr>
        <vertAlign val="subscript"/>
        <sz val="10"/>
        <rFont val="Cambria"/>
        <family val="1"/>
      </rPr>
      <t>c0E</t>
    </r>
    <r>
      <rPr>
        <vertAlign val="subscript"/>
        <sz val="10"/>
        <rFont val="Century"/>
        <family val="1"/>
      </rPr>
      <t xml:space="preserve"> </t>
    </r>
    <r>
      <rPr>
        <sz val="10"/>
        <rFont val="ＭＳ Ｐゴシック"/>
        <family val="3"/>
        <charset val="128"/>
      </rPr>
      <t>：試験食器なし処理時消費電力量[kWh]</t>
    </r>
    <rPh sb="6" eb="8">
      <t>シケン</t>
    </rPh>
    <rPh sb="8" eb="10">
      <t>ショッキ</t>
    </rPh>
    <rPh sb="12" eb="14">
      <t>ショリ</t>
    </rPh>
    <rPh sb="14" eb="15">
      <t>ジ</t>
    </rPh>
    <phoneticPr fontId="3"/>
  </si>
  <si>
    <r>
      <rPr>
        <i/>
        <sz val="10"/>
        <rFont val="Cambria"/>
        <family val="1"/>
      </rPr>
      <t>Q</t>
    </r>
    <r>
      <rPr>
        <vertAlign val="subscript"/>
        <sz val="10"/>
        <rFont val="Cambria"/>
        <family val="1"/>
      </rPr>
      <t>c0E</t>
    </r>
    <r>
      <rPr>
        <sz val="10"/>
        <rFont val="ＭＳ Ｐゴシック"/>
        <family val="3"/>
        <charset val="128"/>
      </rPr>
      <t xml:space="preserve"> : 試験食器なし処理時消費電力量[kWh/h]</t>
    </r>
    <phoneticPr fontId="3"/>
  </si>
  <si>
    <r>
      <t>P</t>
    </r>
    <r>
      <rPr>
        <vertAlign val="subscript"/>
        <sz val="10"/>
        <rFont val="Cambria"/>
        <family val="1"/>
      </rPr>
      <t xml:space="preserve">c0E </t>
    </r>
    <r>
      <rPr>
        <sz val="10"/>
        <rFont val="Cambria"/>
        <family val="1"/>
      </rPr>
      <t>=</t>
    </r>
    <phoneticPr fontId="3"/>
  </si>
  <si>
    <r>
      <rPr>
        <i/>
        <sz val="14"/>
        <rFont val="Cambria"/>
        <family val="1"/>
      </rPr>
      <t>Q</t>
    </r>
    <r>
      <rPr>
        <vertAlign val="subscript"/>
        <sz val="14"/>
        <rFont val="Cambria"/>
        <family val="1"/>
      </rPr>
      <t>c0E</t>
    </r>
    <r>
      <rPr>
        <sz val="10"/>
        <rFont val="Cambria"/>
        <family val="1"/>
      </rPr>
      <t xml:space="preserve"> </t>
    </r>
    <r>
      <rPr>
        <sz val="10"/>
        <rFont val="ＭＳ Ｐゴシック"/>
        <family val="3"/>
        <charset val="128"/>
      </rPr>
      <t>平均値=</t>
    </r>
    <rPh sb="5" eb="8">
      <t>ヘイキンチ</t>
    </rPh>
    <phoneticPr fontId="3"/>
  </si>
  <si>
    <r>
      <rPr>
        <i/>
        <sz val="10"/>
        <rFont val="Cambria"/>
        <family val="1"/>
      </rPr>
      <t>ΔQ</t>
    </r>
    <r>
      <rPr>
        <sz val="10"/>
        <rFont val="Cambria"/>
        <family val="1"/>
      </rPr>
      <t>c</t>
    </r>
    <r>
      <rPr>
        <i/>
        <sz val="10"/>
        <rFont val="ＭＳ Ｐゴシック"/>
        <family val="3"/>
        <charset val="128"/>
      </rPr>
      <t>・</t>
    </r>
    <r>
      <rPr>
        <i/>
        <sz val="10"/>
        <rFont val="Cambria"/>
        <family val="1"/>
      </rPr>
      <t>X</t>
    </r>
    <r>
      <rPr>
        <sz val="10"/>
        <rFont val="ＭＳ Ｐゴシック"/>
        <family val="3"/>
        <charset val="128"/>
      </rPr>
      <t>をガス消費量に加える。</t>
    </r>
    <phoneticPr fontId="3"/>
  </si>
  <si>
    <r>
      <rPr>
        <i/>
        <sz val="10"/>
        <rFont val="Cambria"/>
        <family val="1"/>
      </rPr>
      <t>ΔQ</t>
    </r>
    <r>
      <rPr>
        <sz val="10"/>
        <rFont val="Cambria"/>
        <family val="1"/>
      </rPr>
      <t>c</t>
    </r>
    <r>
      <rPr>
        <sz val="10"/>
        <rFont val="ＭＳ Ｐゴシック"/>
        <family val="3"/>
        <charset val="128"/>
      </rPr>
      <t>を消費電力量に加える。</t>
    </r>
    <phoneticPr fontId="3"/>
  </si>
  <si>
    <r>
      <t>1/2・</t>
    </r>
    <r>
      <rPr>
        <i/>
        <sz val="10"/>
        <rFont val="Cambria"/>
        <family val="1"/>
      </rPr>
      <t>ΔQ</t>
    </r>
    <r>
      <rPr>
        <sz val="10"/>
        <rFont val="Cambria"/>
        <family val="1"/>
      </rPr>
      <t>c</t>
    </r>
    <r>
      <rPr>
        <sz val="10"/>
        <rFont val="ＭＳ Ｐゴシック"/>
        <family val="3"/>
        <charset val="128"/>
      </rPr>
      <t xml:space="preserve"> を消費電力量に加え、1/2・</t>
    </r>
    <r>
      <rPr>
        <i/>
        <sz val="10"/>
        <rFont val="Cambria"/>
        <family val="1"/>
      </rPr>
      <t>ΔQ</t>
    </r>
    <r>
      <rPr>
        <sz val="10"/>
        <rFont val="Cambria"/>
        <family val="1"/>
      </rPr>
      <t>c</t>
    </r>
    <r>
      <rPr>
        <sz val="10"/>
        <rFont val="ＭＳ Ｐゴシック"/>
        <family val="3"/>
        <charset val="128"/>
      </rPr>
      <t>・</t>
    </r>
    <r>
      <rPr>
        <i/>
        <sz val="10"/>
        <rFont val="Cambria"/>
        <family val="1"/>
      </rPr>
      <t>X</t>
    </r>
    <r>
      <rPr>
        <sz val="10"/>
        <rFont val="ＭＳ Ｐゴシック"/>
        <family val="3"/>
        <charset val="128"/>
      </rPr>
      <t>をガス消費量に加える。</t>
    </r>
    <phoneticPr fontId="3"/>
  </si>
  <si>
    <r>
      <t>【試験食器の熱負荷相当：</t>
    </r>
    <r>
      <rPr>
        <i/>
        <sz val="10"/>
        <rFont val="Cambria"/>
        <family val="1"/>
      </rPr>
      <t>ΔQ</t>
    </r>
    <r>
      <rPr>
        <i/>
        <vertAlign val="subscript"/>
        <sz val="10"/>
        <rFont val="Cambria"/>
        <family val="1"/>
      </rPr>
      <t>c</t>
    </r>
    <r>
      <rPr>
        <sz val="10"/>
        <rFont val="ＭＳ Ｐゴシック"/>
        <family val="3"/>
        <charset val="128"/>
      </rPr>
      <t>】</t>
    </r>
    <phoneticPr fontId="3"/>
  </si>
  <si>
    <r>
      <t>ただし、ガスを加熱用熱源として使用していないタンクの貯湯量</t>
    </r>
    <r>
      <rPr>
        <i/>
        <sz val="10.5"/>
        <rFont val="Cambria"/>
        <family val="1"/>
      </rPr>
      <t>W</t>
    </r>
    <r>
      <rPr>
        <sz val="10.5"/>
        <rFont val="ＭＳ Ｐゴシック"/>
        <family val="3"/>
        <charset val="128"/>
      </rPr>
      <t>（</t>
    </r>
    <r>
      <rPr>
        <sz val="10.5"/>
        <rFont val="Cambria"/>
        <family val="1"/>
      </rPr>
      <t>X</t>
    </r>
    <r>
      <rPr>
        <sz val="10.5"/>
        <rFont val="ＭＳ Ｐゴシック"/>
        <family val="3"/>
        <charset val="128"/>
      </rPr>
      <t>）は</t>
    </r>
    <r>
      <rPr>
        <i/>
        <sz val="10.5"/>
        <rFont val="Cambria"/>
        <family val="1"/>
      </rPr>
      <t>W</t>
    </r>
    <r>
      <rPr>
        <sz val="10.5"/>
        <rFont val="ＭＳ Ｐゴシック"/>
        <family val="3"/>
        <charset val="128"/>
      </rPr>
      <t>（</t>
    </r>
    <r>
      <rPr>
        <sz val="10.5"/>
        <rFont val="Cambria"/>
        <family val="1"/>
      </rPr>
      <t>X</t>
    </r>
    <r>
      <rPr>
        <i/>
        <sz val="10.5"/>
        <rFont val="ＭＳ Ｐゴシック"/>
        <family val="3"/>
        <charset val="128"/>
      </rPr>
      <t>）</t>
    </r>
    <r>
      <rPr>
        <sz val="10.5"/>
        <rFont val="ＭＳ Ｐゴシック"/>
        <family val="3"/>
        <charset val="128"/>
      </rPr>
      <t>=0とする。</t>
    </r>
    <phoneticPr fontId="3"/>
  </si>
  <si>
    <r>
      <rPr>
        <i/>
        <sz val="10"/>
        <color indexed="8"/>
        <rFont val="Cambria"/>
        <family val="1"/>
      </rPr>
      <t>V</t>
    </r>
    <r>
      <rPr>
        <vertAlign val="subscript"/>
        <sz val="10"/>
        <color indexed="8"/>
        <rFont val="Cambria"/>
        <family val="1"/>
      </rPr>
      <t>c</t>
    </r>
    <r>
      <rPr>
        <sz val="10"/>
        <color indexed="8"/>
        <rFont val="Cambria"/>
        <family val="1"/>
      </rPr>
      <t xml:space="preserve"> </t>
    </r>
    <r>
      <rPr>
        <sz val="10"/>
        <color indexed="8"/>
        <rFont val="ＭＳ Ｐゴシック"/>
        <family val="3"/>
        <charset val="128"/>
      </rPr>
      <t>：</t>
    </r>
    <r>
      <rPr>
        <sz val="10"/>
        <color indexed="8"/>
        <rFont val="Cambria"/>
        <family val="1"/>
      </rPr>
      <t xml:space="preserve"> </t>
    </r>
    <r>
      <rPr>
        <sz val="10"/>
        <color indexed="8"/>
        <rFont val="ＭＳ Ｐゴシック"/>
        <family val="3"/>
        <charset val="128"/>
      </rPr>
      <t>連続処理能力 [枚/h]</t>
    </r>
    <rPh sb="5" eb="7">
      <t>レンゾク</t>
    </rPh>
    <rPh sb="7" eb="9">
      <t>ショリ</t>
    </rPh>
    <rPh sb="9" eb="11">
      <t>ノウリョク</t>
    </rPh>
    <rPh sb="13" eb="14">
      <t>マイ</t>
    </rPh>
    <phoneticPr fontId="3"/>
  </si>
  <si>
    <r>
      <rPr>
        <i/>
        <sz val="10"/>
        <color indexed="8"/>
        <rFont val="Cambria"/>
        <family val="1"/>
      </rPr>
      <t>Δθ</t>
    </r>
    <r>
      <rPr>
        <vertAlign val="subscript"/>
        <sz val="10"/>
        <color indexed="8"/>
        <rFont val="Cambria"/>
        <family val="1"/>
      </rPr>
      <t>d</t>
    </r>
    <r>
      <rPr>
        <sz val="10"/>
        <color indexed="8"/>
        <rFont val="ＭＳ Ｐゴシック"/>
        <family val="3"/>
        <charset val="128"/>
      </rPr>
      <t xml:space="preserve"> : 試験食器の温度差の補正[℃]　標準値は45 ℃（洗浄</t>
    </r>
    <phoneticPr fontId="3"/>
  </si>
  <si>
    <r>
      <rPr>
        <i/>
        <sz val="10"/>
        <rFont val="Cambria"/>
        <family val="1"/>
      </rPr>
      <t>m</t>
    </r>
    <r>
      <rPr>
        <vertAlign val="subscript"/>
        <sz val="10"/>
        <rFont val="Cambria"/>
        <family val="1"/>
      </rPr>
      <t>d</t>
    </r>
    <r>
      <rPr>
        <sz val="10"/>
        <rFont val="Cambria"/>
        <family val="1"/>
      </rPr>
      <t xml:space="preserve"> </t>
    </r>
    <r>
      <rPr>
        <sz val="10"/>
        <rFont val="ＭＳ Ｐゴシック"/>
        <family val="3"/>
        <charset val="128"/>
      </rPr>
      <t>： 試験食器の重量[kg/枚] 　</t>
    </r>
    <phoneticPr fontId="3"/>
  </si>
  <si>
    <r>
      <rPr>
        <i/>
        <sz val="10"/>
        <rFont val="Cambria"/>
        <family val="1"/>
      </rPr>
      <t>C</t>
    </r>
    <r>
      <rPr>
        <vertAlign val="subscript"/>
        <sz val="10"/>
        <rFont val="Cambria"/>
        <family val="1"/>
      </rPr>
      <t xml:space="preserve">d </t>
    </r>
    <r>
      <rPr>
        <sz val="10"/>
        <rFont val="ＭＳ Ｐゴシック"/>
        <family val="3"/>
        <charset val="128"/>
      </rPr>
      <t>： 試験食器の比熱　[kJ/kg ℃]</t>
    </r>
    <phoneticPr fontId="3"/>
  </si>
  <si>
    <r>
      <rPr>
        <i/>
        <sz val="14"/>
        <rFont val="Cambria"/>
        <family val="1"/>
      </rPr>
      <t>Q</t>
    </r>
    <r>
      <rPr>
        <vertAlign val="subscript"/>
        <sz val="14"/>
        <rFont val="Cambria"/>
        <family val="1"/>
      </rPr>
      <t>cG</t>
    </r>
    <r>
      <rPr>
        <sz val="10"/>
        <rFont val="Cambria"/>
        <family val="1"/>
      </rPr>
      <t xml:space="preserve"> = </t>
    </r>
    <phoneticPr fontId="3"/>
  </si>
  <si>
    <r>
      <rPr>
        <i/>
        <sz val="14"/>
        <rFont val="Cambria"/>
        <family val="1"/>
      </rPr>
      <t>Q</t>
    </r>
    <r>
      <rPr>
        <vertAlign val="subscript"/>
        <sz val="14"/>
        <rFont val="Cambria"/>
        <family val="1"/>
      </rPr>
      <t>cE</t>
    </r>
    <r>
      <rPr>
        <sz val="10"/>
        <rFont val="Cambria"/>
        <family val="1"/>
      </rPr>
      <t xml:space="preserve"> = </t>
    </r>
    <phoneticPr fontId="3"/>
  </si>
  <si>
    <r>
      <rPr>
        <i/>
        <sz val="10"/>
        <rFont val="Cambria"/>
        <family val="1"/>
      </rPr>
      <t>Q</t>
    </r>
    <r>
      <rPr>
        <vertAlign val="subscript"/>
        <sz val="10"/>
        <rFont val="Cambria"/>
        <family val="1"/>
      </rPr>
      <t>cE</t>
    </r>
    <r>
      <rPr>
        <vertAlign val="subscript"/>
        <sz val="10"/>
        <rFont val="Century"/>
        <family val="1"/>
      </rPr>
      <t xml:space="preserve"> </t>
    </r>
    <r>
      <rPr>
        <sz val="10"/>
        <rFont val="ＭＳ Ｐゴシック"/>
        <family val="3"/>
        <charset val="128"/>
      </rPr>
      <t>: 処理時消費電力量[kWh/h]</t>
    </r>
    <phoneticPr fontId="3"/>
  </si>
  <si>
    <r>
      <t>ΔQ</t>
    </r>
    <r>
      <rPr>
        <vertAlign val="subscript"/>
        <sz val="10"/>
        <rFont val="Cambria"/>
        <family val="1"/>
      </rPr>
      <t>c</t>
    </r>
    <r>
      <rPr>
        <i/>
        <vertAlign val="subscript"/>
        <sz val="10"/>
        <rFont val="Cambria"/>
        <family val="1"/>
      </rPr>
      <t xml:space="preserve"> </t>
    </r>
    <r>
      <rPr>
        <sz val="10"/>
        <rFont val="Cambria"/>
        <family val="1"/>
      </rPr>
      <t>=</t>
    </r>
    <phoneticPr fontId="3"/>
  </si>
  <si>
    <r>
      <t>C</t>
    </r>
    <r>
      <rPr>
        <vertAlign val="subscript"/>
        <sz val="10"/>
        <rFont val="Cambria"/>
        <family val="1"/>
      </rPr>
      <t xml:space="preserve">d </t>
    </r>
    <r>
      <rPr>
        <sz val="10"/>
        <rFont val="Cambria"/>
        <family val="1"/>
      </rPr>
      <t>=</t>
    </r>
    <phoneticPr fontId="3"/>
  </si>
  <si>
    <r>
      <t>m</t>
    </r>
    <r>
      <rPr>
        <vertAlign val="subscript"/>
        <sz val="10"/>
        <rFont val="Cambria"/>
        <family val="1"/>
      </rPr>
      <t xml:space="preserve">d </t>
    </r>
    <r>
      <rPr>
        <sz val="10"/>
        <rFont val="Cambria"/>
        <family val="1"/>
      </rPr>
      <t xml:space="preserve">= </t>
    </r>
    <phoneticPr fontId="3"/>
  </si>
  <si>
    <r>
      <t>Δθ</t>
    </r>
    <r>
      <rPr>
        <vertAlign val="subscript"/>
        <sz val="10"/>
        <rFont val="Cambria"/>
        <family val="1"/>
      </rPr>
      <t>d</t>
    </r>
    <r>
      <rPr>
        <sz val="10"/>
        <rFont val="Cambria"/>
        <family val="1"/>
      </rPr>
      <t xml:space="preserve"> =</t>
    </r>
    <phoneticPr fontId="3"/>
  </si>
  <si>
    <r>
      <t>V</t>
    </r>
    <r>
      <rPr>
        <vertAlign val="subscript"/>
        <sz val="10"/>
        <rFont val="Cambria"/>
        <family val="1"/>
      </rPr>
      <t>c</t>
    </r>
    <r>
      <rPr>
        <i/>
        <sz val="10"/>
        <rFont val="Cambria"/>
        <family val="1"/>
      </rPr>
      <t xml:space="preserve"> </t>
    </r>
    <r>
      <rPr>
        <sz val="10"/>
        <rFont val="Cambria"/>
        <family val="1"/>
      </rPr>
      <t>=</t>
    </r>
    <phoneticPr fontId="3"/>
  </si>
  <si>
    <r>
      <rPr>
        <i/>
        <sz val="10"/>
        <rFont val="Cambria"/>
        <family val="1"/>
      </rPr>
      <t>P</t>
    </r>
    <r>
      <rPr>
        <vertAlign val="subscript"/>
        <sz val="10"/>
        <rFont val="Cambria"/>
        <family val="1"/>
      </rPr>
      <t>iG</t>
    </r>
    <r>
      <rPr>
        <sz val="10"/>
        <rFont val="ＭＳ Ｐゴシック"/>
        <family val="3"/>
        <charset val="128"/>
      </rPr>
      <t xml:space="preserve"> ：待機時のガス消費量[kWh]</t>
    </r>
    <rPh sb="5" eb="7">
      <t>タイキ</t>
    </rPh>
    <rPh sb="7" eb="8">
      <t>ジ</t>
    </rPh>
    <rPh sb="11" eb="14">
      <t>ショウヒリョウ</t>
    </rPh>
    <phoneticPr fontId="3"/>
  </si>
  <si>
    <r>
      <rPr>
        <i/>
        <sz val="10"/>
        <rFont val="Cambria"/>
        <family val="1"/>
      </rPr>
      <t>T</t>
    </r>
    <r>
      <rPr>
        <vertAlign val="subscript"/>
        <sz val="10"/>
        <rFont val="Cambria"/>
        <family val="1"/>
      </rPr>
      <t>i</t>
    </r>
    <r>
      <rPr>
        <sz val="10"/>
        <rFont val="Cambria"/>
        <family val="1"/>
      </rPr>
      <t>=</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</si>
  <si>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</si>
  <si>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</si>
  <si>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</si>
  <si>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</si>
  <si>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</si>
  <si>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</si>
  <si>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</si>
  <si>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測定時の大気圧[kPa]</t>
    </r>
    <phoneticPr fontId="3"/>
  </si>
  <si>
    <r>
      <rPr>
        <i/>
        <sz val="10"/>
        <rFont val="Cambria"/>
        <family val="1"/>
      </rPr>
      <t>θ</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測定時のガスメータ内のガス温度[℃]</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</si>
  <si>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Cambria"/>
        <family val="1"/>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</si>
  <si>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</si>
  <si>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Q</t>
    </r>
    <r>
      <rPr>
        <vertAlign val="subscript"/>
        <sz val="10"/>
        <rFont val="Cambria"/>
        <family val="1"/>
      </rPr>
      <t xml:space="preserve">iG </t>
    </r>
    <r>
      <rPr>
        <sz val="10"/>
        <rFont val="Cambria"/>
        <family val="1"/>
      </rPr>
      <t>=</t>
    </r>
    <phoneticPr fontId="3"/>
  </si>
  <si>
    <r>
      <rPr>
        <i/>
        <sz val="14"/>
        <rFont val="Cambria"/>
        <family val="1"/>
      </rPr>
      <t>Q</t>
    </r>
    <r>
      <rPr>
        <vertAlign val="subscript"/>
        <sz val="14"/>
        <rFont val="Cambria"/>
        <family val="1"/>
      </rPr>
      <t xml:space="preserve">iG </t>
    </r>
    <r>
      <rPr>
        <sz val="10"/>
        <rFont val="ＭＳ Ｐゴシック"/>
        <family val="3"/>
        <charset val="128"/>
      </rPr>
      <t>平均値=</t>
    </r>
    <rPh sb="4" eb="7">
      <t>ヘイキンチ</t>
    </rPh>
    <phoneticPr fontId="3"/>
  </si>
  <si>
    <r>
      <t>P</t>
    </r>
    <r>
      <rPr>
        <vertAlign val="subscript"/>
        <sz val="10"/>
        <rFont val="Cambria"/>
        <family val="1"/>
      </rPr>
      <t>iE</t>
    </r>
    <r>
      <rPr>
        <i/>
        <sz val="10"/>
        <rFont val="Cambria"/>
        <family val="1"/>
      </rPr>
      <t xml:space="preserve"> </t>
    </r>
    <r>
      <rPr>
        <sz val="10"/>
        <rFont val="Cambria"/>
        <family val="1"/>
      </rPr>
      <t>=</t>
    </r>
    <phoneticPr fontId="3"/>
  </si>
  <si>
    <r>
      <t>Q</t>
    </r>
    <r>
      <rPr>
        <vertAlign val="subscript"/>
        <sz val="10"/>
        <rFont val="Cambria"/>
        <family val="1"/>
      </rPr>
      <t xml:space="preserve">iE </t>
    </r>
    <r>
      <rPr>
        <sz val="10"/>
        <rFont val="Cambria"/>
        <family val="1"/>
      </rPr>
      <t>=</t>
    </r>
    <phoneticPr fontId="3"/>
  </si>
  <si>
    <r>
      <rPr>
        <i/>
        <sz val="10"/>
        <rFont val="Cambria"/>
        <family val="1"/>
      </rPr>
      <t>P</t>
    </r>
    <r>
      <rPr>
        <vertAlign val="subscript"/>
        <sz val="10"/>
        <rFont val="Cambria"/>
        <family val="1"/>
      </rPr>
      <t xml:space="preserve">iE </t>
    </r>
    <r>
      <rPr>
        <sz val="10"/>
        <rFont val="ＭＳ Ｐゴシック"/>
        <family val="3"/>
        <charset val="128"/>
      </rPr>
      <t>：</t>
    </r>
    <r>
      <rPr>
        <sz val="10"/>
        <rFont val="Cambria"/>
        <family val="1"/>
      </rPr>
      <t xml:space="preserve"> </t>
    </r>
    <r>
      <rPr>
        <sz val="10"/>
        <rFont val="ＭＳ Ｐゴシック"/>
        <family val="3"/>
        <charset val="128"/>
      </rPr>
      <t>消費電力量[kWh]</t>
    </r>
    <phoneticPr fontId="3"/>
  </si>
  <si>
    <r>
      <rPr>
        <i/>
        <sz val="10"/>
        <rFont val="Cambria"/>
        <family val="1"/>
      </rPr>
      <t>Q</t>
    </r>
    <r>
      <rPr>
        <vertAlign val="subscript"/>
        <sz val="10"/>
        <rFont val="Cambria"/>
        <family val="1"/>
      </rPr>
      <t>iE</t>
    </r>
    <r>
      <rPr>
        <sz val="10"/>
        <rFont val="Cambria"/>
        <family val="1"/>
      </rPr>
      <t xml:space="preserve"> : </t>
    </r>
    <r>
      <rPr>
        <sz val="10"/>
        <rFont val="ＭＳ Ｐゴシック"/>
        <family val="3"/>
        <charset val="128"/>
      </rPr>
      <t>待機時消費電力量[kWh/h]</t>
    </r>
    <phoneticPr fontId="3"/>
  </si>
  <si>
    <r>
      <rPr>
        <i/>
        <sz val="14"/>
        <rFont val="Cambria"/>
        <family val="1"/>
      </rPr>
      <t>Q</t>
    </r>
    <r>
      <rPr>
        <vertAlign val="subscript"/>
        <sz val="14"/>
        <rFont val="Cambria"/>
        <family val="1"/>
      </rPr>
      <t xml:space="preserve">iE </t>
    </r>
    <r>
      <rPr>
        <sz val="10"/>
        <rFont val="ＭＳ Ｐゴシック"/>
        <family val="3"/>
        <charset val="128"/>
      </rPr>
      <t>平均値=</t>
    </r>
    <rPh sb="4" eb="7">
      <t>ヘイキンチ</t>
    </rPh>
    <phoneticPr fontId="3"/>
  </si>
  <si>
    <r>
      <t>P</t>
    </r>
    <r>
      <rPr>
        <vertAlign val="subscript"/>
        <sz val="10"/>
        <rFont val="Cambria"/>
        <family val="1"/>
      </rPr>
      <t>iG</t>
    </r>
    <r>
      <rPr>
        <i/>
        <sz val="10"/>
        <rFont val="Cambria"/>
        <family val="1"/>
      </rPr>
      <t xml:space="preserve"> </t>
    </r>
    <r>
      <rPr>
        <sz val="10"/>
        <rFont val="Cambria"/>
        <family val="1"/>
      </rPr>
      <t>=</t>
    </r>
    <phoneticPr fontId="3"/>
  </si>
  <si>
    <r>
      <rPr>
        <i/>
        <sz val="10"/>
        <rFont val="Cambria"/>
        <family val="1"/>
      </rPr>
      <t>Q</t>
    </r>
    <r>
      <rPr>
        <vertAlign val="subscript"/>
        <sz val="10"/>
        <rFont val="Cambria"/>
        <family val="1"/>
      </rPr>
      <t xml:space="preserve">sG </t>
    </r>
    <r>
      <rPr>
        <sz val="10"/>
        <rFont val="ＭＳ Ｐゴシック"/>
        <family val="3"/>
        <charset val="128"/>
      </rPr>
      <t>: 立上り時ガス消費量[kWh/回]</t>
    </r>
    <rPh sb="20" eb="21">
      <t>カイ</t>
    </rPh>
    <phoneticPr fontId="3"/>
  </si>
  <si>
    <r>
      <rPr>
        <i/>
        <sz val="10"/>
        <rFont val="Cambria"/>
        <family val="1"/>
      </rPr>
      <t>Q</t>
    </r>
    <r>
      <rPr>
        <vertAlign val="subscript"/>
        <sz val="10"/>
        <rFont val="Cambria"/>
        <family val="1"/>
      </rPr>
      <t xml:space="preserve">cG </t>
    </r>
    <r>
      <rPr>
        <sz val="10"/>
        <rFont val="Cambria"/>
        <family val="1"/>
      </rPr>
      <t xml:space="preserve">: </t>
    </r>
    <r>
      <rPr>
        <sz val="10"/>
        <rFont val="ＭＳ Ｐゴシック"/>
        <family val="3"/>
        <charset val="128"/>
      </rPr>
      <t>処理時ガス消費量[kWh/h]</t>
    </r>
    <phoneticPr fontId="3"/>
  </si>
  <si>
    <r>
      <rPr>
        <i/>
        <sz val="10"/>
        <rFont val="Cambria"/>
        <family val="1"/>
      </rPr>
      <t>Q</t>
    </r>
    <r>
      <rPr>
        <vertAlign val="subscript"/>
        <sz val="10"/>
        <rFont val="Cambria"/>
        <family val="1"/>
      </rPr>
      <t>c0G</t>
    </r>
    <r>
      <rPr>
        <sz val="10"/>
        <rFont val="Cambria"/>
        <family val="1"/>
      </rPr>
      <t xml:space="preserve"> </t>
    </r>
    <r>
      <rPr>
        <sz val="10"/>
        <rFont val="ＭＳ Ｐゴシック"/>
        <family val="3"/>
        <charset val="128"/>
      </rPr>
      <t>: 試験食器なし処理時ガス消費量[kWh/h]</t>
    </r>
    <phoneticPr fontId="3"/>
  </si>
  <si>
    <r>
      <rPr>
        <i/>
        <sz val="10"/>
        <rFont val="Cambria"/>
        <family val="1"/>
      </rPr>
      <t>Q</t>
    </r>
    <r>
      <rPr>
        <vertAlign val="subscript"/>
        <sz val="10"/>
        <rFont val="Cambria"/>
        <family val="1"/>
      </rPr>
      <t>iG</t>
    </r>
    <r>
      <rPr>
        <sz val="10"/>
        <rFont val="Cambria"/>
        <family val="1"/>
      </rPr>
      <t xml:space="preserve"> : </t>
    </r>
    <r>
      <rPr>
        <sz val="10"/>
        <rFont val="ＭＳ Ｐゴシック"/>
        <family val="3"/>
        <charset val="128"/>
      </rPr>
      <t>待機時ガス消費量[kWh/h]</t>
    </r>
    <phoneticPr fontId="3"/>
  </si>
  <si>
    <r>
      <rPr>
        <i/>
        <sz val="10"/>
        <rFont val="Cambria"/>
        <family val="1"/>
      </rPr>
      <t>h</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処理時間[</t>
    </r>
    <r>
      <rPr>
        <sz val="10"/>
        <rFont val="Century"/>
        <family val="1"/>
      </rPr>
      <t>h</t>
    </r>
    <r>
      <rPr>
        <sz val="10"/>
        <rFont val="ＭＳ Ｐゴシック"/>
        <family val="3"/>
        <charset val="128"/>
      </rPr>
      <t>/日]　標準値は1h/日</t>
    </r>
    <rPh sb="12" eb="13">
      <t>ヒ</t>
    </rPh>
    <rPh sb="15" eb="18">
      <t>ヒョウジュンチ</t>
    </rPh>
    <rPh sb="22" eb="23">
      <t>ヒ</t>
    </rPh>
    <phoneticPr fontId="3"/>
  </si>
  <si>
    <r>
      <rPr>
        <i/>
        <sz val="10"/>
        <rFont val="Cambria"/>
        <family val="1"/>
      </rPr>
      <t>h</t>
    </r>
    <r>
      <rPr>
        <vertAlign val="subscript"/>
        <sz val="10"/>
        <rFont val="Cambria"/>
        <family val="1"/>
      </rPr>
      <t xml:space="preserve">i </t>
    </r>
    <r>
      <rPr>
        <sz val="10"/>
        <rFont val="ＭＳ Ｐゴシック"/>
        <family val="3"/>
        <charset val="128"/>
      </rPr>
      <t>：</t>
    </r>
    <r>
      <rPr>
        <sz val="10"/>
        <rFont val="Cambria"/>
        <family val="1"/>
      </rPr>
      <t xml:space="preserve"> </t>
    </r>
    <r>
      <rPr>
        <sz val="10"/>
        <rFont val="ＭＳ Ｐゴシック"/>
        <family val="3"/>
        <charset val="128"/>
      </rPr>
      <t>待機時間</t>
    </r>
    <r>
      <rPr>
        <sz val="10"/>
        <rFont val="Century"/>
        <family val="1"/>
      </rPr>
      <t>[h</t>
    </r>
    <r>
      <rPr>
        <sz val="10"/>
        <rFont val="ＭＳ Ｐゴシック"/>
        <family val="3"/>
        <charset val="128"/>
      </rPr>
      <t>/日]　標準値は0.5h/日</t>
    </r>
    <rPh sb="12" eb="13">
      <t>ヒ</t>
    </rPh>
    <rPh sb="15" eb="18">
      <t>ヒョウジュンチ</t>
    </rPh>
    <rPh sb="24" eb="25">
      <t>ヒ</t>
    </rPh>
    <phoneticPr fontId="3"/>
  </si>
  <si>
    <r>
      <rPr>
        <i/>
        <sz val="10"/>
        <rFont val="Cambria"/>
        <family val="1"/>
      </rPr>
      <t>r</t>
    </r>
    <r>
      <rPr>
        <vertAlign val="subscript"/>
        <sz val="10"/>
        <rFont val="Cambria"/>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処理負荷率</t>
    </r>
    <r>
      <rPr>
        <sz val="10"/>
        <rFont val="Century"/>
        <family val="1"/>
      </rPr>
      <t xml:space="preserve"> </t>
    </r>
    <r>
      <rPr>
        <sz val="10"/>
        <rFont val="ＭＳ Ｐゴシック"/>
        <family val="3"/>
        <charset val="128"/>
      </rPr>
      <t>標準値は0.8</t>
    </r>
    <rPh sb="5" eb="7">
      <t>ショリ</t>
    </rPh>
    <phoneticPr fontId="3"/>
  </si>
  <si>
    <r>
      <rPr>
        <i/>
        <sz val="10"/>
        <rFont val="Cambria"/>
        <family val="1"/>
      </rPr>
      <t>n</t>
    </r>
    <r>
      <rPr>
        <vertAlign val="subscript"/>
        <sz val="10"/>
        <rFont val="Cambria"/>
        <family val="1"/>
      </rPr>
      <t xml:space="preserve">s </t>
    </r>
    <r>
      <rPr>
        <sz val="10"/>
        <rFont val="ＭＳ Ｐゴシック"/>
        <family val="3"/>
        <charset val="128"/>
      </rPr>
      <t>： 立上り回数[回/日]　標準値は１回/日</t>
    </r>
    <rPh sb="11" eb="12">
      <t>カイ</t>
    </rPh>
    <rPh sb="13" eb="14">
      <t>ヒ</t>
    </rPh>
    <rPh sb="18" eb="19">
      <t>チ</t>
    </rPh>
    <rPh sb="21" eb="22">
      <t>カイ</t>
    </rPh>
    <rPh sb="23" eb="24">
      <t>ニチ</t>
    </rPh>
    <phoneticPr fontId="3"/>
  </si>
  <si>
    <r>
      <rPr>
        <i/>
        <sz val="11"/>
        <rFont val="Cambria"/>
        <family val="1"/>
      </rPr>
      <t>Q</t>
    </r>
    <r>
      <rPr>
        <vertAlign val="subscript"/>
        <sz val="11"/>
        <rFont val="Cambria"/>
        <family val="1"/>
      </rPr>
      <t xml:space="preserve">dHG </t>
    </r>
    <r>
      <rPr>
        <sz val="11"/>
        <rFont val="Cambria"/>
        <family val="1"/>
      </rPr>
      <t xml:space="preserve">: </t>
    </r>
    <r>
      <rPr>
        <sz val="11"/>
        <rFont val="ＭＳ Ｐゴシック"/>
        <family val="3"/>
        <charset val="128"/>
      </rPr>
      <t>日あたりガス消費量（時間想定）[kWh/日]</t>
    </r>
    <phoneticPr fontId="3"/>
  </si>
  <si>
    <r>
      <t>Q</t>
    </r>
    <r>
      <rPr>
        <vertAlign val="subscript"/>
        <sz val="10"/>
        <rFont val="Cambria"/>
        <family val="1"/>
      </rPr>
      <t>sG</t>
    </r>
    <r>
      <rPr>
        <sz val="10"/>
        <rFont val="Cambria"/>
        <family val="1"/>
      </rPr>
      <t xml:space="preserve"> =</t>
    </r>
    <phoneticPr fontId="3"/>
  </si>
  <si>
    <r>
      <t>Q</t>
    </r>
    <r>
      <rPr>
        <vertAlign val="subscript"/>
        <sz val="10"/>
        <rFont val="Cambria"/>
        <family val="1"/>
      </rPr>
      <t>cG</t>
    </r>
    <r>
      <rPr>
        <sz val="10"/>
        <rFont val="Cambria"/>
        <family val="1"/>
      </rPr>
      <t xml:space="preserve"> = </t>
    </r>
    <phoneticPr fontId="3"/>
  </si>
  <si>
    <r>
      <t>Q</t>
    </r>
    <r>
      <rPr>
        <vertAlign val="subscript"/>
        <sz val="10"/>
        <rFont val="Cambria"/>
        <family val="1"/>
      </rPr>
      <t>c0G</t>
    </r>
    <r>
      <rPr>
        <sz val="10"/>
        <rFont val="Cambria"/>
        <family val="1"/>
      </rPr>
      <t xml:space="preserve"> =</t>
    </r>
    <phoneticPr fontId="3"/>
  </si>
  <si>
    <r>
      <t>Q</t>
    </r>
    <r>
      <rPr>
        <vertAlign val="subscript"/>
        <sz val="10"/>
        <rFont val="Cambria"/>
        <family val="1"/>
      </rPr>
      <t xml:space="preserve">iG </t>
    </r>
    <r>
      <rPr>
        <sz val="10"/>
        <rFont val="Cambria"/>
        <family val="1"/>
      </rPr>
      <t xml:space="preserve">= </t>
    </r>
    <phoneticPr fontId="3"/>
  </si>
  <si>
    <r>
      <t>h</t>
    </r>
    <r>
      <rPr>
        <vertAlign val="subscript"/>
        <sz val="10"/>
        <rFont val="Cambria"/>
        <family val="1"/>
      </rPr>
      <t>c</t>
    </r>
    <r>
      <rPr>
        <sz val="10"/>
        <rFont val="Cambria"/>
        <family val="1"/>
      </rPr>
      <t xml:space="preserve"> =</t>
    </r>
    <phoneticPr fontId="3"/>
  </si>
  <si>
    <r>
      <t>h</t>
    </r>
    <r>
      <rPr>
        <vertAlign val="subscript"/>
        <sz val="10"/>
        <rFont val="Cambria"/>
        <family val="1"/>
      </rPr>
      <t>i</t>
    </r>
    <r>
      <rPr>
        <sz val="10"/>
        <rFont val="Cambria"/>
        <family val="1"/>
      </rPr>
      <t xml:space="preserve"> =</t>
    </r>
    <phoneticPr fontId="3"/>
  </si>
  <si>
    <r>
      <rPr>
        <i/>
        <sz val="10"/>
        <rFont val="Cambria"/>
        <family val="1"/>
      </rPr>
      <t>r</t>
    </r>
    <r>
      <rPr>
        <vertAlign val="subscript"/>
        <sz val="10"/>
        <rFont val="Cambria"/>
        <family val="1"/>
      </rPr>
      <t>c</t>
    </r>
    <r>
      <rPr>
        <sz val="10"/>
        <rFont val="Cambria"/>
        <family val="1"/>
      </rPr>
      <t xml:space="preserve"> =</t>
    </r>
    <phoneticPr fontId="3"/>
  </si>
  <si>
    <r>
      <t>n</t>
    </r>
    <r>
      <rPr>
        <vertAlign val="subscript"/>
        <sz val="10"/>
        <rFont val="Cambria"/>
        <family val="1"/>
      </rPr>
      <t>s</t>
    </r>
    <r>
      <rPr>
        <sz val="10"/>
        <rFont val="Cambria"/>
        <family val="1"/>
      </rPr>
      <t xml:space="preserve"> = </t>
    </r>
    <phoneticPr fontId="3"/>
  </si>
  <si>
    <r>
      <rPr>
        <i/>
        <sz val="14"/>
        <rFont val="Cambria"/>
        <family val="1"/>
      </rPr>
      <t>Q</t>
    </r>
    <r>
      <rPr>
        <vertAlign val="subscript"/>
        <sz val="14"/>
        <rFont val="Cambria"/>
        <family val="1"/>
      </rPr>
      <t xml:space="preserve">dHG </t>
    </r>
    <r>
      <rPr>
        <sz val="10"/>
        <rFont val="Cambria"/>
        <family val="1"/>
      </rPr>
      <t>=</t>
    </r>
    <phoneticPr fontId="3"/>
  </si>
  <si>
    <r>
      <t>Q</t>
    </r>
    <r>
      <rPr>
        <vertAlign val="subscript"/>
        <sz val="10"/>
        <rFont val="Cambria"/>
        <family val="1"/>
      </rPr>
      <t>sE</t>
    </r>
    <r>
      <rPr>
        <sz val="10"/>
        <rFont val="Cambria"/>
        <family val="1"/>
      </rPr>
      <t xml:space="preserve"> =</t>
    </r>
    <phoneticPr fontId="3"/>
  </si>
  <si>
    <r>
      <t>Q</t>
    </r>
    <r>
      <rPr>
        <vertAlign val="subscript"/>
        <sz val="10"/>
        <rFont val="Cambria"/>
        <family val="1"/>
      </rPr>
      <t>cE</t>
    </r>
    <r>
      <rPr>
        <sz val="10"/>
        <rFont val="Cambria"/>
        <family val="1"/>
      </rPr>
      <t xml:space="preserve"> = </t>
    </r>
    <phoneticPr fontId="3"/>
  </si>
  <si>
    <r>
      <t>Q</t>
    </r>
    <r>
      <rPr>
        <vertAlign val="subscript"/>
        <sz val="10"/>
        <rFont val="Cambria"/>
        <family val="1"/>
      </rPr>
      <t>c0E</t>
    </r>
    <r>
      <rPr>
        <sz val="10"/>
        <rFont val="Cambria"/>
        <family val="1"/>
      </rPr>
      <t xml:space="preserve"> =</t>
    </r>
    <phoneticPr fontId="3"/>
  </si>
  <si>
    <r>
      <t>Q</t>
    </r>
    <r>
      <rPr>
        <vertAlign val="subscript"/>
        <sz val="10"/>
        <rFont val="Cambria"/>
        <family val="1"/>
      </rPr>
      <t xml:space="preserve">iE </t>
    </r>
    <r>
      <rPr>
        <sz val="10"/>
        <rFont val="Cambria"/>
        <family val="1"/>
      </rPr>
      <t xml:space="preserve">= </t>
    </r>
    <phoneticPr fontId="3"/>
  </si>
  <si>
    <r>
      <rPr>
        <i/>
        <sz val="14"/>
        <rFont val="Cambria"/>
        <family val="1"/>
      </rPr>
      <t>Q</t>
    </r>
    <r>
      <rPr>
        <vertAlign val="subscript"/>
        <sz val="14"/>
        <rFont val="Cambria"/>
        <family val="1"/>
      </rPr>
      <t xml:space="preserve">dHE </t>
    </r>
    <r>
      <rPr>
        <sz val="10"/>
        <rFont val="Cambria"/>
        <family val="1"/>
      </rPr>
      <t>=</t>
    </r>
    <phoneticPr fontId="3"/>
  </si>
  <si>
    <r>
      <rPr>
        <i/>
        <sz val="10"/>
        <rFont val="Cambria"/>
        <family val="1"/>
      </rPr>
      <t>Q</t>
    </r>
    <r>
      <rPr>
        <vertAlign val="subscript"/>
        <sz val="10"/>
        <rFont val="Cambria"/>
        <family val="1"/>
      </rPr>
      <t xml:space="preserve">dHE </t>
    </r>
    <r>
      <rPr>
        <sz val="10"/>
        <rFont val="ＭＳ Ｐゴシック"/>
        <family val="3"/>
        <charset val="128"/>
      </rPr>
      <t>：</t>
    </r>
    <r>
      <rPr>
        <sz val="10"/>
        <rFont val="Cambria"/>
        <family val="1"/>
      </rPr>
      <t xml:space="preserve"> </t>
    </r>
    <r>
      <rPr>
        <sz val="10"/>
        <rFont val="ＭＳ Ｐゴシック"/>
        <family val="3"/>
        <charset val="128"/>
      </rPr>
      <t>日あたり消費電力量（時間想定）[kWh/日]</t>
    </r>
    <phoneticPr fontId="3"/>
  </si>
  <si>
    <r>
      <rPr>
        <i/>
        <sz val="10"/>
        <rFont val="Cambria"/>
        <family val="1"/>
      </rPr>
      <t>Q</t>
    </r>
    <r>
      <rPr>
        <vertAlign val="subscript"/>
        <sz val="10"/>
        <rFont val="Cambria"/>
        <family val="1"/>
      </rPr>
      <t>iE</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待機時消費電力量[kWh/h]</t>
    </r>
    <phoneticPr fontId="3"/>
  </si>
  <si>
    <r>
      <rPr>
        <i/>
        <sz val="10"/>
        <rFont val="Cambria"/>
        <family val="1"/>
      </rPr>
      <t>Q</t>
    </r>
    <r>
      <rPr>
        <vertAlign val="subscript"/>
        <sz val="10"/>
        <rFont val="Cambria"/>
        <family val="1"/>
      </rPr>
      <t>c0E</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試験食器なし処理時消費電力量[kWh/h]</t>
    </r>
    <phoneticPr fontId="3"/>
  </si>
  <si>
    <r>
      <rPr>
        <i/>
        <sz val="10"/>
        <rFont val="Cambria"/>
        <family val="1"/>
      </rPr>
      <t>Q</t>
    </r>
    <r>
      <rPr>
        <vertAlign val="subscript"/>
        <sz val="10"/>
        <rFont val="Cambria"/>
        <family val="1"/>
      </rPr>
      <t xml:space="preserve">cE </t>
    </r>
    <r>
      <rPr>
        <sz val="10"/>
        <rFont val="ＭＳ Ｐゴシック"/>
        <family val="3"/>
        <charset val="128"/>
      </rPr>
      <t>：</t>
    </r>
    <r>
      <rPr>
        <sz val="10"/>
        <rFont val="Cambria"/>
        <family val="1"/>
      </rPr>
      <t xml:space="preserve"> </t>
    </r>
    <r>
      <rPr>
        <sz val="10"/>
        <rFont val="ＭＳ Ｐゴシック"/>
        <family val="3"/>
        <charset val="128"/>
      </rPr>
      <t>処理時消費電力量[kWh/h]</t>
    </r>
    <phoneticPr fontId="3"/>
  </si>
  <si>
    <r>
      <rPr>
        <i/>
        <sz val="10"/>
        <rFont val="Cambria"/>
        <family val="1"/>
      </rPr>
      <t>Q</t>
    </r>
    <r>
      <rPr>
        <vertAlign val="subscript"/>
        <sz val="10"/>
        <rFont val="Cambria"/>
        <family val="1"/>
      </rPr>
      <t xml:space="preserve">sE </t>
    </r>
    <r>
      <rPr>
        <sz val="10"/>
        <rFont val="ＭＳ Ｐゴシック"/>
        <family val="3"/>
        <charset val="128"/>
      </rPr>
      <t>：</t>
    </r>
    <r>
      <rPr>
        <sz val="10"/>
        <rFont val="Century"/>
        <family val="1"/>
      </rPr>
      <t xml:space="preserve"> </t>
    </r>
    <r>
      <rPr>
        <sz val="10"/>
        <rFont val="ＭＳ Ｐゴシック"/>
        <family val="3"/>
        <charset val="128"/>
      </rPr>
      <t>立上り時消費電力量[kWh/回]</t>
    </r>
    <rPh sb="20" eb="21">
      <t>カイ</t>
    </rPh>
    <phoneticPr fontId="3"/>
  </si>
  <si>
    <r>
      <rPr>
        <sz val="10"/>
        <rFont val="ＭＳ Ｐゴシック"/>
        <family val="3"/>
        <charset val="128"/>
      </rPr>
      <t>予備洗浄タンク、洗浄タンクおよび循環すすぎタンクの貯湯量の和を立上り時給水量または立上り時給湯量</t>
    </r>
    <r>
      <rPr>
        <i/>
        <sz val="10"/>
        <rFont val="Cambria"/>
        <family val="1"/>
      </rPr>
      <t>W</t>
    </r>
    <r>
      <rPr>
        <vertAlign val="subscript"/>
        <sz val="10"/>
        <rFont val="Cambria"/>
        <family val="1"/>
      </rPr>
      <t xml:space="preserve">s </t>
    </r>
    <r>
      <rPr>
        <sz val="10"/>
        <rFont val="Cambria"/>
        <family val="1"/>
      </rPr>
      <t>[</t>
    </r>
    <r>
      <rPr>
        <sz val="10"/>
        <rFont val="ＭＳ Ｐゴシック"/>
        <family val="3"/>
        <charset val="128"/>
      </rPr>
      <t>ℓ</t>
    </r>
    <r>
      <rPr>
        <sz val="10"/>
        <rFont val="Cambria"/>
        <family val="1"/>
      </rPr>
      <t>/</t>
    </r>
    <r>
      <rPr>
        <sz val="10"/>
        <rFont val="ＭＳ Ｐゴシック"/>
        <family val="3"/>
        <charset val="128"/>
      </rPr>
      <t>回</t>
    </r>
    <r>
      <rPr>
        <sz val="10"/>
        <rFont val="Cambria"/>
        <family val="1"/>
      </rPr>
      <t xml:space="preserve">] </t>
    </r>
    <r>
      <rPr>
        <sz val="10"/>
        <rFont val="ＭＳ Ｐゴシック"/>
        <family val="3"/>
        <charset val="128"/>
      </rPr>
      <t>とする。</t>
    </r>
    <rPh sb="0" eb="2">
      <t>ヨビ</t>
    </rPh>
    <rPh sb="2" eb="4">
      <t>センジョウ</t>
    </rPh>
    <rPh sb="8" eb="10">
      <t>センジョウ</t>
    </rPh>
    <rPh sb="16" eb="18">
      <t>ジュンカン</t>
    </rPh>
    <rPh sb="25" eb="26">
      <t>チョ</t>
    </rPh>
    <rPh sb="26" eb="27">
      <t>トウ</t>
    </rPh>
    <rPh sb="27" eb="28">
      <t>リョウ</t>
    </rPh>
    <rPh sb="29" eb="30">
      <t>ワ</t>
    </rPh>
    <rPh sb="31" eb="33">
      <t>タチアガ</t>
    </rPh>
    <rPh sb="34" eb="35">
      <t>ジ</t>
    </rPh>
    <rPh sb="35" eb="37">
      <t>キュウスイ</t>
    </rPh>
    <rPh sb="37" eb="38">
      <t>リョウ</t>
    </rPh>
    <rPh sb="41" eb="43">
      <t>タチアガ</t>
    </rPh>
    <rPh sb="44" eb="45">
      <t>ジ</t>
    </rPh>
    <rPh sb="45" eb="47">
      <t>キュウトウ</t>
    </rPh>
    <phoneticPr fontId="3"/>
  </si>
  <si>
    <r>
      <rPr>
        <i/>
        <sz val="10"/>
        <rFont val="Cambria"/>
        <family val="1"/>
      </rPr>
      <t>W</t>
    </r>
    <r>
      <rPr>
        <vertAlign val="subscript"/>
        <sz val="10"/>
        <rFont val="Cambria"/>
        <family val="1"/>
      </rPr>
      <t>s</t>
    </r>
    <r>
      <rPr>
        <sz val="10"/>
        <rFont val="Cambria"/>
        <family val="1"/>
      </rPr>
      <t xml:space="preserve"> </t>
    </r>
    <r>
      <rPr>
        <sz val="10"/>
        <rFont val="ＭＳ Ｐゴシック"/>
        <family val="3"/>
        <charset val="128"/>
      </rPr>
      <t>： 立上り時給水量または立上り時給湯量[ℓ/回]</t>
    </r>
    <rPh sb="9" eb="11">
      <t>キュウスイ</t>
    </rPh>
    <rPh sb="11" eb="12">
      <t>リョウ</t>
    </rPh>
    <rPh sb="15" eb="17">
      <t>タチアガ</t>
    </rPh>
    <rPh sb="18" eb="19">
      <t>ジ</t>
    </rPh>
    <phoneticPr fontId="3"/>
  </si>
  <si>
    <r>
      <t>製造者の表示する標準給水量または標準給湯量を処理時給水量または処理時給湯量</t>
    </r>
    <r>
      <rPr>
        <i/>
        <sz val="10"/>
        <rFont val="Cambria"/>
        <family val="1"/>
      </rPr>
      <t>W</t>
    </r>
    <r>
      <rPr>
        <vertAlign val="subscript"/>
        <sz val="10"/>
        <rFont val="Cambria"/>
        <family val="1"/>
      </rPr>
      <t>c</t>
    </r>
    <r>
      <rPr>
        <sz val="10"/>
        <rFont val="ＭＳ Ｐゴシック"/>
        <family val="3"/>
        <charset val="128"/>
      </rPr>
      <t xml:space="preserve"> [ℓ/h] とする。</t>
    </r>
    <rPh sb="11" eb="12">
      <t>スイ</t>
    </rPh>
    <rPh sb="16" eb="18">
      <t>ヒョウジュン</t>
    </rPh>
    <rPh sb="18" eb="20">
      <t>キュウトウ</t>
    </rPh>
    <rPh sb="20" eb="21">
      <t>リョウ</t>
    </rPh>
    <rPh sb="25" eb="27">
      <t>キュウスイ</t>
    </rPh>
    <rPh sb="27" eb="28">
      <t>リョウ</t>
    </rPh>
    <rPh sb="31" eb="33">
      <t>ショリ</t>
    </rPh>
    <rPh sb="33" eb="34">
      <t>ジ</t>
    </rPh>
    <phoneticPr fontId="3"/>
  </si>
  <si>
    <r>
      <rPr>
        <i/>
        <sz val="10"/>
        <rFont val="Cambria"/>
        <family val="1"/>
      </rPr>
      <t>W</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処理時給水量または処理時給湯量[ℓ/h]</t>
    </r>
    <rPh sb="8" eb="10">
      <t>キュウスイ</t>
    </rPh>
    <rPh sb="10" eb="11">
      <t>リョウ</t>
    </rPh>
    <rPh sb="14" eb="16">
      <t>ショリ</t>
    </rPh>
    <rPh sb="16" eb="17">
      <t>ジ</t>
    </rPh>
    <phoneticPr fontId="3"/>
  </si>
  <si>
    <r>
      <rPr>
        <i/>
        <sz val="10"/>
        <rFont val="Cambria"/>
        <family val="1"/>
      </rPr>
      <t>W</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立上り時給水量または立上り時給湯量[ℓ/回]</t>
    </r>
    <rPh sb="9" eb="11">
      <t>キュウスイ</t>
    </rPh>
    <rPh sb="11" eb="12">
      <t>リョウ</t>
    </rPh>
    <rPh sb="15" eb="17">
      <t>タチアガ</t>
    </rPh>
    <rPh sb="18" eb="19">
      <t>ジ</t>
    </rPh>
    <phoneticPr fontId="3"/>
  </si>
  <si>
    <r>
      <rPr>
        <i/>
        <sz val="10"/>
        <rFont val="Cambria"/>
        <family val="1"/>
      </rPr>
      <t>n</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立上り回数[回/日] 　標準値は1 回/日</t>
    </r>
    <phoneticPr fontId="3"/>
  </si>
  <si>
    <r>
      <rPr>
        <i/>
        <sz val="10"/>
        <rFont val="Cambria"/>
        <family val="1"/>
      </rPr>
      <t>h</t>
    </r>
    <r>
      <rPr>
        <vertAlign val="subscript"/>
        <sz val="10"/>
        <rFont val="Cambria"/>
        <family val="1"/>
      </rPr>
      <t xml:space="preserve">c </t>
    </r>
    <r>
      <rPr>
        <sz val="10"/>
        <rFont val="ＭＳ Ｐゴシック"/>
        <family val="3"/>
        <charset val="128"/>
      </rPr>
      <t>： 処理時間[h/日] 　標準値は1h/日</t>
    </r>
    <phoneticPr fontId="3"/>
  </si>
  <si>
    <r>
      <t>h</t>
    </r>
    <r>
      <rPr>
        <vertAlign val="subscript"/>
        <sz val="10"/>
        <rFont val="Cambria"/>
        <family val="1"/>
      </rPr>
      <t xml:space="preserve">c </t>
    </r>
    <r>
      <rPr>
        <sz val="10"/>
        <rFont val="Cambria"/>
        <family val="1"/>
      </rPr>
      <t>=</t>
    </r>
    <phoneticPr fontId="3"/>
  </si>
  <si>
    <r>
      <t>n</t>
    </r>
    <r>
      <rPr>
        <vertAlign val="subscript"/>
        <sz val="10"/>
        <rFont val="Cambria"/>
        <family val="1"/>
      </rPr>
      <t xml:space="preserve">s </t>
    </r>
    <r>
      <rPr>
        <sz val="10"/>
        <rFont val="Cambria"/>
        <family val="1"/>
      </rPr>
      <t>=</t>
    </r>
    <phoneticPr fontId="3"/>
  </si>
  <si>
    <r>
      <t>W</t>
    </r>
    <r>
      <rPr>
        <vertAlign val="subscript"/>
        <sz val="10"/>
        <rFont val="Cambria"/>
        <family val="1"/>
      </rPr>
      <t xml:space="preserve">c </t>
    </r>
    <r>
      <rPr>
        <sz val="10"/>
        <rFont val="Cambria"/>
        <family val="1"/>
      </rPr>
      <t>=</t>
    </r>
    <phoneticPr fontId="3"/>
  </si>
  <si>
    <r>
      <t>W</t>
    </r>
    <r>
      <rPr>
        <vertAlign val="subscript"/>
        <sz val="10"/>
        <rFont val="Cambria"/>
        <family val="1"/>
      </rPr>
      <t xml:space="preserve">s </t>
    </r>
    <r>
      <rPr>
        <sz val="10"/>
        <rFont val="Cambria"/>
        <family val="1"/>
      </rPr>
      <t>=</t>
    </r>
    <phoneticPr fontId="3"/>
  </si>
  <si>
    <t>セールス</t>
    <phoneticPr fontId="3"/>
  </si>
  <si>
    <r>
      <t>　試験機器の初期状態は、予備洗浄タンク、洗浄タンクおよび循環すすぎタンクはすべて空、ならびに、仕上げすすぎタンクは満水とする。初期状態の試験機器を室温になじませた後、仕上げすすぎタンクの水の初温</t>
    </r>
    <r>
      <rPr>
        <i/>
        <sz val="10"/>
        <rFont val="Cambria"/>
        <family val="1"/>
      </rPr>
      <t>θ</t>
    </r>
    <r>
      <rPr>
        <vertAlign val="subscript"/>
        <sz val="10"/>
        <rFont val="Cambria"/>
        <family val="1"/>
      </rPr>
      <t>s</t>
    </r>
    <r>
      <rPr>
        <vertAlign val="subscript"/>
        <sz val="10"/>
        <rFont val="Century"/>
        <family val="1"/>
      </rPr>
      <t xml:space="preserve"> </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を測定する。最大入力で給湯（給水）および加熱を始め、予備洗浄タンクが40 ℃以上の満水に達した時間</t>
    </r>
    <r>
      <rPr>
        <i/>
        <sz val="10"/>
        <rFont val="Cambria"/>
        <family val="1"/>
      </rPr>
      <t>T</t>
    </r>
    <r>
      <rPr>
        <vertAlign val="subscript"/>
        <sz val="10"/>
        <rFont val="Cambria"/>
        <family val="1"/>
      </rPr>
      <t>1</t>
    </r>
    <r>
      <rPr>
        <vertAlign val="subscript"/>
        <sz val="10"/>
        <rFont val="ＭＳ Ｐゴシック"/>
        <family val="3"/>
        <charset val="128"/>
      </rPr>
      <t xml:space="preserve"> </t>
    </r>
    <r>
      <rPr>
        <sz val="10"/>
        <rFont val="ＭＳ Ｐゴシック"/>
        <family val="3"/>
        <charset val="128"/>
      </rPr>
      <t>[min]、洗浄タンクが60</t>
    </r>
    <r>
      <rPr>
        <sz val="10"/>
        <rFont val="Century"/>
        <family val="1"/>
      </rPr>
      <t xml:space="preserve"> </t>
    </r>
    <r>
      <rPr>
        <sz val="10"/>
        <rFont val="ＭＳ Ｐゴシック"/>
        <family val="3"/>
        <charset val="128"/>
      </rPr>
      <t>℃以上の満水に達した時間</t>
    </r>
    <r>
      <rPr>
        <i/>
        <sz val="10"/>
        <rFont val="Cambria"/>
        <family val="1"/>
      </rPr>
      <t>T</t>
    </r>
    <r>
      <rPr>
        <vertAlign val="subscript"/>
        <sz val="10"/>
        <rFont val="Cambria"/>
        <family val="1"/>
      </rPr>
      <t>2</t>
    </r>
    <r>
      <rPr>
        <vertAlign val="subscript"/>
        <sz val="10"/>
        <rFont val="Century"/>
        <family val="1"/>
      </rPr>
      <t xml:space="preserve"> </t>
    </r>
    <r>
      <rPr>
        <sz val="10"/>
        <rFont val="ＭＳ Ｐゴシック"/>
        <family val="3"/>
        <charset val="128"/>
      </rPr>
      <t>[min]、循環すすぎタンクが65 ℃以上の満水に達した時間</t>
    </r>
    <r>
      <rPr>
        <i/>
        <sz val="10"/>
        <rFont val="Cambria"/>
        <family val="1"/>
      </rPr>
      <t>T</t>
    </r>
    <r>
      <rPr>
        <vertAlign val="subscript"/>
        <sz val="10"/>
        <rFont val="Cambria"/>
        <family val="1"/>
      </rPr>
      <t>3</t>
    </r>
    <r>
      <rPr>
        <vertAlign val="subscript"/>
        <sz val="10"/>
        <rFont val="Century"/>
        <family val="1"/>
      </rPr>
      <t xml:space="preserve"> </t>
    </r>
    <r>
      <rPr>
        <sz val="10"/>
        <rFont val="ＭＳ Ｐゴシック"/>
        <family val="3"/>
        <charset val="128"/>
      </rPr>
      <t>[min]、および仕上げすすぎタンクが80</t>
    </r>
    <r>
      <rPr>
        <sz val="10"/>
        <rFont val="Century"/>
        <family val="1"/>
      </rPr>
      <t xml:space="preserve"> </t>
    </r>
    <r>
      <rPr>
        <sz val="10"/>
        <rFont val="ＭＳ Ｐゴシック"/>
        <family val="3"/>
        <charset val="128"/>
      </rPr>
      <t>℃以上の満水に達した時間</t>
    </r>
    <r>
      <rPr>
        <i/>
        <sz val="10"/>
        <rFont val="Cambria"/>
        <family val="1"/>
      </rPr>
      <t>T</t>
    </r>
    <r>
      <rPr>
        <vertAlign val="subscript"/>
        <sz val="10"/>
        <rFont val="Cambria"/>
        <family val="1"/>
      </rPr>
      <t>4</t>
    </r>
    <r>
      <rPr>
        <vertAlign val="subscript"/>
        <sz val="10"/>
        <rFont val="ＭＳ Ｐゴシック"/>
        <family val="3"/>
        <charset val="128"/>
      </rPr>
      <t xml:space="preserve"> </t>
    </r>
    <r>
      <rPr>
        <sz val="10"/>
        <rFont val="ＭＳ Ｐゴシック"/>
        <family val="3"/>
        <charset val="128"/>
      </rPr>
      <t>[min] 、ならびに、すべてが達した時間までのエネルギー消費量</t>
    </r>
    <r>
      <rPr>
        <i/>
        <sz val="10"/>
        <rFont val="Cambria"/>
        <family val="1"/>
      </rPr>
      <t>P</t>
    </r>
    <r>
      <rPr>
        <i/>
        <vertAlign val="subscript"/>
        <sz val="10"/>
        <rFont val="Cambria"/>
        <family val="1"/>
      </rPr>
      <t>s</t>
    </r>
    <r>
      <rPr>
        <sz val="10"/>
        <rFont val="ＭＳ Ｐゴシック"/>
        <family val="3"/>
        <charset val="128"/>
      </rPr>
      <t xml:space="preserve"> [kWh/回] を測定する。立上り性能</t>
    </r>
    <r>
      <rPr>
        <i/>
        <sz val="10"/>
        <rFont val="Cambria"/>
        <family val="1"/>
      </rPr>
      <t>T</t>
    </r>
    <r>
      <rPr>
        <i/>
        <vertAlign val="subscript"/>
        <sz val="10"/>
        <rFont val="Cambria"/>
        <family val="1"/>
      </rPr>
      <t>s</t>
    </r>
    <r>
      <rPr>
        <vertAlign val="subscript"/>
        <sz val="10"/>
        <rFont val="Cambria"/>
        <family val="1"/>
      </rPr>
      <t xml:space="preserve"> </t>
    </r>
    <r>
      <rPr>
        <sz val="10"/>
        <rFont val="ＭＳ Ｐゴシック"/>
        <family val="3"/>
        <charset val="128"/>
      </rPr>
      <t>[min] は、①から④式の最大値になる。
　待機状態は、洗浄ポンプおよびコンベアが停止した状態であり、予備洗浄タンクが40 ℃以上の満水、洗浄タンクが60 ℃以上の満水、循環すすぎタンクが65 ℃以上の満水、ならびに、仕上げすすぎタンクが80 ℃以上の満水とする。ただし、仕上げすすぎタンク、予備洗浄タンクまたは循環すすぎタンクをもたない試験機器の場合には、もたないものに関する条件が満たされているものとみなす。</t>
    </r>
    <rPh sb="118" eb="120">
      <t>キュウスイ</t>
    </rPh>
    <rPh sb="285" eb="287">
      <t>ショウヒ</t>
    </rPh>
    <phoneticPr fontId="3"/>
  </si>
  <si>
    <r>
      <t>W</t>
    </r>
    <r>
      <rPr>
        <i/>
        <vertAlign val="subscript"/>
        <sz val="10"/>
        <rFont val="Cambria"/>
        <family val="1"/>
      </rPr>
      <t>m</t>
    </r>
    <r>
      <rPr>
        <sz val="10"/>
        <rFont val="Cambria"/>
        <family val="1"/>
      </rPr>
      <t xml:space="preserve">= </t>
    </r>
    <phoneticPr fontId="3"/>
  </si>
  <si>
    <r>
      <rPr>
        <b/>
        <i/>
        <sz val="12"/>
        <rFont val="Cambria"/>
        <family val="1"/>
      </rPr>
      <t>T</t>
    </r>
    <r>
      <rPr>
        <b/>
        <i/>
        <vertAlign val="subscript"/>
        <sz val="12"/>
        <rFont val="Cambria"/>
        <family val="1"/>
      </rPr>
      <t>s</t>
    </r>
    <r>
      <rPr>
        <b/>
        <sz val="12"/>
        <rFont val="ＭＳ Ｐゴシック"/>
        <family val="3"/>
        <charset val="128"/>
      </rPr>
      <t xml:space="preserve">： 立上り性能[min] </t>
    </r>
    <phoneticPr fontId="3"/>
  </si>
  <si>
    <r>
      <rPr>
        <i/>
        <sz val="14"/>
        <rFont val="Cambria"/>
        <family val="1"/>
      </rPr>
      <t>T</t>
    </r>
    <r>
      <rPr>
        <i/>
        <vertAlign val="subscript"/>
        <sz val="14"/>
        <rFont val="Cambria"/>
        <family val="1"/>
      </rPr>
      <t>s</t>
    </r>
    <r>
      <rPr>
        <i/>
        <vertAlign val="subscript"/>
        <sz val="10"/>
        <rFont val="ＭＳ Ｐゴシック"/>
        <family val="3"/>
        <charset val="128"/>
      </rPr>
      <t xml:space="preserve"> </t>
    </r>
    <r>
      <rPr>
        <sz val="10"/>
        <rFont val="ＭＳ Ｐゴシック"/>
        <family val="3"/>
        <charset val="128"/>
      </rPr>
      <t xml:space="preserve">最大値= </t>
    </r>
    <rPh sb="3" eb="6">
      <t>サイダイチ</t>
    </rPh>
    <phoneticPr fontId="3"/>
  </si>
  <si>
    <r>
      <rPr>
        <i/>
        <sz val="10"/>
        <rFont val="Cambria"/>
        <family val="1"/>
      </rPr>
      <t>T</t>
    </r>
    <r>
      <rPr>
        <vertAlign val="subscript"/>
        <sz val="10"/>
        <rFont val="Cambria"/>
        <family val="1"/>
      </rPr>
      <t>1</t>
    </r>
    <r>
      <rPr>
        <vertAlign val="subscript"/>
        <sz val="10"/>
        <rFont val="ＭＳ Ｐゴシック"/>
        <family val="3"/>
        <charset val="128"/>
      </rPr>
      <t>、</t>
    </r>
    <r>
      <rPr>
        <i/>
        <sz val="10"/>
        <rFont val="Cambria"/>
        <family val="1"/>
      </rPr>
      <t>T</t>
    </r>
    <r>
      <rPr>
        <vertAlign val="subscript"/>
        <sz val="10"/>
        <rFont val="Cambria"/>
        <family val="1"/>
      </rPr>
      <t>2</t>
    </r>
    <r>
      <rPr>
        <vertAlign val="subscript"/>
        <sz val="10"/>
        <rFont val="ＭＳ Ｐゴシック"/>
        <family val="3"/>
        <charset val="128"/>
      </rPr>
      <t>、</t>
    </r>
    <r>
      <rPr>
        <i/>
        <sz val="10"/>
        <rFont val="Cambria"/>
        <family val="1"/>
      </rPr>
      <t>T</t>
    </r>
    <r>
      <rPr>
        <vertAlign val="subscript"/>
        <sz val="10"/>
        <rFont val="Cambria"/>
        <family val="1"/>
      </rPr>
      <t>3</t>
    </r>
    <r>
      <rPr>
        <vertAlign val="subscript"/>
        <sz val="10"/>
        <rFont val="ＭＳ Ｐゴシック"/>
        <family val="3"/>
        <charset val="128"/>
      </rPr>
      <t>、</t>
    </r>
    <r>
      <rPr>
        <i/>
        <sz val="10"/>
        <rFont val="Cambria"/>
        <family val="1"/>
      </rPr>
      <t>T</t>
    </r>
    <r>
      <rPr>
        <vertAlign val="subscript"/>
        <sz val="10"/>
        <rFont val="Cambria"/>
        <family val="1"/>
      </rPr>
      <t>4</t>
    </r>
    <r>
      <rPr>
        <sz val="10"/>
        <rFont val="ＭＳ Ｐゴシック"/>
        <family val="3"/>
        <charset val="128"/>
      </rPr>
      <t>の最大値</t>
    </r>
    <rPh sb="12" eb="15">
      <t>サイダイチ</t>
    </rPh>
    <phoneticPr fontId="3"/>
  </si>
  <si>
    <r>
      <t>立上り時ガス消費量：</t>
    </r>
    <r>
      <rPr>
        <b/>
        <i/>
        <sz val="12"/>
        <rFont val="Cambria"/>
        <family val="1"/>
      </rPr>
      <t>P</t>
    </r>
    <r>
      <rPr>
        <b/>
        <vertAlign val="subscript"/>
        <sz val="12"/>
        <rFont val="Cambria"/>
        <family val="1"/>
      </rPr>
      <t>sG</t>
    </r>
    <r>
      <rPr>
        <b/>
        <sz val="12"/>
        <rFont val="ＭＳ Ｐゴシック"/>
        <family val="3"/>
        <charset val="128"/>
      </rPr>
      <t>[kWh/回]</t>
    </r>
    <rPh sb="0" eb="2">
      <t>タチアガ</t>
    </rPh>
    <rPh sb="3" eb="4">
      <t>ジ</t>
    </rPh>
    <rPh sb="6" eb="9">
      <t>ショウヒリョウ</t>
    </rPh>
    <rPh sb="18" eb="19">
      <t>カイ</t>
    </rPh>
    <phoneticPr fontId="3"/>
  </si>
  <si>
    <r>
      <rPr>
        <i/>
        <sz val="12"/>
        <rFont val="Cambria"/>
        <family val="1"/>
      </rPr>
      <t>P</t>
    </r>
    <r>
      <rPr>
        <vertAlign val="subscript"/>
        <sz val="12"/>
        <rFont val="Cambria"/>
        <family val="1"/>
      </rPr>
      <t>sG</t>
    </r>
    <r>
      <rPr>
        <sz val="12"/>
        <rFont val="ＭＳ Ｐゴシック"/>
        <family val="3"/>
        <charset val="128"/>
      </rPr>
      <t xml:space="preserve"> ：待機状態に達した時間までのガス消費量[kWh/回]</t>
    </r>
    <rPh sb="5" eb="7">
      <t>タイキ</t>
    </rPh>
    <rPh sb="7" eb="9">
      <t>ジョウタイ</t>
    </rPh>
    <rPh sb="20" eb="23">
      <t>ショウヒリョウ</t>
    </rPh>
    <phoneticPr fontId="3"/>
  </si>
  <si>
    <r>
      <t>立上り時ガス消費量</t>
    </r>
    <r>
      <rPr>
        <i/>
        <sz val="10"/>
        <rFont val="Cambria"/>
        <family val="1"/>
      </rPr>
      <t>P</t>
    </r>
    <r>
      <rPr>
        <vertAlign val="subscript"/>
        <sz val="10"/>
        <rFont val="Cambria"/>
        <family val="1"/>
      </rPr>
      <t>sG</t>
    </r>
    <r>
      <rPr>
        <sz val="10"/>
        <rFont val="ＭＳ Ｐゴシック"/>
        <family val="3"/>
        <charset val="128"/>
      </rPr>
      <t>は、次式にて算出する。</t>
    </r>
    <rPh sb="0" eb="2">
      <t>タチアガ</t>
    </rPh>
    <rPh sb="3" eb="4">
      <t>ジ</t>
    </rPh>
    <rPh sb="6" eb="9">
      <t>ショウヒリョウ</t>
    </rPh>
    <rPh sb="14" eb="16">
      <t>ジシキ</t>
    </rPh>
    <rPh sb="18" eb="20">
      <t>サンシュツ</t>
    </rPh>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</si>
  <si>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</si>
  <si>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立上り時消費電力量：</t>
    </r>
    <r>
      <rPr>
        <b/>
        <i/>
        <sz val="12"/>
        <rFont val="Cambria"/>
        <family val="1"/>
      </rPr>
      <t>P</t>
    </r>
    <r>
      <rPr>
        <b/>
        <vertAlign val="subscript"/>
        <sz val="12"/>
        <rFont val="Cambria"/>
        <family val="1"/>
      </rPr>
      <t>sE</t>
    </r>
    <r>
      <rPr>
        <b/>
        <sz val="12"/>
        <rFont val="ＭＳ Ｐゴシック"/>
        <family val="3"/>
        <charset val="128"/>
      </rPr>
      <t>[kWh/回]</t>
    </r>
    <rPh sb="0" eb="2">
      <t>タチアガ</t>
    </rPh>
    <rPh sb="3" eb="4">
      <t>ジ</t>
    </rPh>
    <rPh sb="4" eb="6">
      <t>ショウヒ</t>
    </rPh>
    <rPh sb="6" eb="8">
      <t>デンリョク</t>
    </rPh>
    <rPh sb="8" eb="9">
      <t>リョウ</t>
    </rPh>
    <rPh sb="18" eb="19">
      <t>カイ</t>
    </rPh>
    <phoneticPr fontId="3"/>
  </si>
  <si>
    <r>
      <t>P</t>
    </r>
    <r>
      <rPr>
        <vertAlign val="subscript"/>
        <sz val="11"/>
        <rFont val="Cambria"/>
        <family val="1"/>
      </rPr>
      <t>sG</t>
    </r>
    <r>
      <rPr>
        <i/>
        <sz val="11"/>
        <rFont val="Cambria"/>
        <family val="1"/>
      </rPr>
      <t xml:space="preserve"> </t>
    </r>
    <r>
      <rPr>
        <sz val="11"/>
        <rFont val="Cambria"/>
        <family val="1"/>
      </rPr>
      <t>=</t>
    </r>
    <phoneticPr fontId="3"/>
  </si>
  <si>
    <r>
      <rPr>
        <i/>
        <sz val="12"/>
        <rFont val="Cambria"/>
        <family val="1"/>
      </rPr>
      <t>P</t>
    </r>
    <r>
      <rPr>
        <vertAlign val="subscript"/>
        <sz val="12"/>
        <rFont val="Cambria"/>
        <family val="1"/>
      </rPr>
      <t>sE</t>
    </r>
    <r>
      <rPr>
        <sz val="10"/>
        <rFont val="Cambria"/>
        <family val="1"/>
      </rPr>
      <t xml:space="preserve"> =</t>
    </r>
    <phoneticPr fontId="3"/>
  </si>
  <si>
    <r>
      <t>W</t>
    </r>
    <r>
      <rPr>
        <vertAlign val="subscript"/>
        <sz val="10"/>
        <rFont val="Cambria"/>
        <family val="1"/>
      </rPr>
      <t>f</t>
    </r>
    <r>
      <rPr>
        <sz val="10"/>
        <rFont val="Cambria"/>
        <family val="1"/>
      </rPr>
      <t xml:space="preserve"> = </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</si>
  <si>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</si>
  <si>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P</t>
    </r>
    <r>
      <rPr>
        <vertAlign val="subscript"/>
        <sz val="10"/>
        <rFont val="Cambria"/>
        <family val="1"/>
      </rPr>
      <t>c0G</t>
    </r>
    <r>
      <rPr>
        <i/>
        <sz val="10"/>
        <rFont val="Cambria"/>
        <family val="1"/>
      </rPr>
      <t xml:space="preserve"> </t>
    </r>
    <r>
      <rPr>
        <sz val="10"/>
        <rFont val="Cambria"/>
        <family val="1"/>
      </rPr>
      <t>=</t>
    </r>
    <phoneticPr fontId="3"/>
  </si>
  <si>
    <r>
      <t>Q</t>
    </r>
    <r>
      <rPr>
        <vertAlign val="subscript"/>
        <sz val="10"/>
        <rFont val="Cambria"/>
        <family val="1"/>
      </rPr>
      <t>c0G</t>
    </r>
    <r>
      <rPr>
        <sz val="10"/>
        <rFont val="Cambria"/>
        <family val="1"/>
      </rPr>
      <t xml:space="preserve"> =</t>
    </r>
    <phoneticPr fontId="3"/>
  </si>
  <si>
    <t xml:space="preserve">ただし、電気を仕上げすすぎタンクの加熱用熱源として使用しない場合の試験食器なし処理時
</t>
    <phoneticPr fontId="3"/>
  </si>
  <si>
    <t>消費電力量は　　　　　　　　　　　　　　</t>
    <phoneticPr fontId="3"/>
  </si>
  <si>
    <t>とする。</t>
  </si>
  <si>
    <r>
      <t>　処理時エネルギー消費量</t>
    </r>
    <r>
      <rPr>
        <i/>
        <sz val="10"/>
        <rFont val="Cambria"/>
        <family val="1"/>
      </rPr>
      <t>Q</t>
    </r>
    <r>
      <rPr>
        <vertAlign val="subscript"/>
        <sz val="10"/>
        <rFont val="Cambria"/>
        <family val="1"/>
      </rPr>
      <t>c</t>
    </r>
    <r>
      <rPr>
        <sz val="10"/>
        <rFont val="ＭＳ Ｐゴシック"/>
        <family val="3"/>
        <charset val="128"/>
      </rPr>
      <t>[[kWh/h]は、試験食器なし処理時エネルギー消費量</t>
    </r>
    <r>
      <rPr>
        <i/>
        <sz val="10"/>
        <rFont val="Cambria"/>
        <family val="1"/>
      </rPr>
      <t>Q</t>
    </r>
    <r>
      <rPr>
        <vertAlign val="subscript"/>
        <sz val="10"/>
        <rFont val="Cambria"/>
        <family val="1"/>
      </rPr>
      <t>c0</t>
    </r>
    <r>
      <rPr>
        <sz val="10"/>
        <rFont val="ＭＳ Ｐゴシック"/>
        <family val="3"/>
        <charset val="128"/>
      </rPr>
      <t xml:space="preserve">[kWh/h]に表5の補正を加えて、計算される。
</t>
    </r>
    <phoneticPr fontId="3"/>
  </si>
  <si>
    <t>表5　試験食器の熱負荷相当の補正</t>
    <phoneticPr fontId="3"/>
  </si>
  <si>
    <t>削除NG</t>
    <rPh sb="0" eb="2">
      <t>サクジョ</t>
    </rPh>
    <phoneticPr fontId="3"/>
  </si>
  <si>
    <r>
      <rPr>
        <i/>
        <sz val="10"/>
        <rFont val="Cambria"/>
        <family val="1"/>
      </rPr>
      <t>p</t>
    </r>
    <r>
      <rPr>
        <vertAlign val="subscript"/>
        <sz val="10"/>
        <rFont val="Cambria"/>
        <family val="1"/>
      </rPr>
      <t>f</t>
    </r>
    <r>
      <rPr>
        <i/>
        <vertAlign val="subscript"/>
        <sz val="10"/>
        <rFont val="Cambria"/>
        <family val="1"/>
      </rPr>
      <t xml:space="preserve"> </t>
    </r>
    <r>
      <rPr>
        <sz val="10"/>
        <rFont val="ＭＳ Ｐゴシック"/>
        <family val="3"/>
        <charset val="128"/>
      </rPr>
      <t>： 洗浄タンクのヒータ容量（ガス消費量）[kW]</t>
    </r>
    <rPh sb="19" eb="22">
      <t>ショウヒリョウ</t>
    </rPh>
    <phoneticPr fontId="3"/>
  </si>
  <si>
    <r>
      <rPr>
        <i/>
        <sz val="10"/>
        <rFont val="Cambria"/>
        <family val="1"/>
      </rPr>
      <t>p</t>
    </r>
    <r>
      <rPr>
        <vertAlign val="subscript"/>
        <sz val="10"/>
        <rFont val="Cambria"/>
        <family val="1"/>
      </rPr>
      <t>m</t>
    </r>
    <r>
      <rPr>
        <vertAlign val="subscript"/>
        <sz val="10"/>
        <rFont val="Century"/>
        <family val="1"/>
      </rPr>
      <t xml:space="preserve"> </t>
    </r>
    <r>
      <rPr>
        <sz val="10"/>
        <rFont val="ＭＳ Ｐゴシック"/>
        <family val="3"/>
        <charset val="128"/>
      </rPr>
      <t>： 循環すすぎタンクのヒータ容量（ガス消費量）[kW]</t>
    </r>
    <rPh sb="22" eb="25">
      <t>ショウヒリョウ</t>
    </rPh>
    <phoneticPr fontId="3"/>
  </si>
  <si>
    <r>
      <rPr>
        <i/>
        <sz val="10"/>
        <rFont val="Cambria"/>
        <family val="1"/>
      </rPr>
      <t>θ</t>
    </r>
    <r>
      <rPr>
        <vertAlign val="subscript"/>
        <sz val="10"/>
        <rFont val="Cambria"/>
        <family val="1"/>
      </rPr>
      <t xml:space="preserve">h </t>
    </r>
    <r>
      <rPr>
        <sz val="10"/>
        <rFont val="ＭＳ Ｐゴシック"/>
        <family val="3"/>
        <charset val="128"/>
      </rPr>
      <t>： 給湯（給水）温度</t>
    </r>
    <r>
      <rPr>
        <sz val="10"/>
        <rFont val="Century"/>
        <family val="1"/>
      </rPr>
      <t>[</t>
    </r>
    <r>
      <rPr>
        <sz val="10"/>
        <rFont val="ＭＳ Ｐゴシック"/>
        <family val="3"/>
        <charset val="128"/>
      </rPr>
      <t>℃</t>
    </r>
    <r>
      <rPr>
        <sz val="10"/>
        <rFont val="Century"/>
        <family val="1"/>
      </rPr>
      <t>]</t>
    </r>
    <rPh sb="8" eb="10">
      <t>キュウスイ</t>
    </rPh>
    <phoneticPr fontId="3"/>
  </si>
  <si>
    <r>
      <rPr>
        <i/>
        <sz val="10"/>
        <rFont val="Cambria"/>
        <family val="1"/>
      </rPr>
      <t>T</t>
    </r>
    <r>
      <rPr>
        <vertAlign val="subscript"/>
        <sz val="10"/>
        <rFont val="Cambria"/>
        <family val="1"/>
      </rPr>
      <t>2</t>
    </r>
    <r>
      <rPr>
        <vertAlign val="subscript"/>
        <sz val="10"/>
        <rFont val="Century"/>
        <family val="1"/>
      </rPr>
      <t xml:space="preserve"> </t>
    </r>
    <r>
      <rPr>
        <sz val="10"/>
        <rFont val="ＭＳ Ｐゴシック"/>
        <family val="3"/>
        <charset val="128"/>
      </rPr>
      <t xml:space="preserve">： 洗浄タンクが60℃以上の満水に達した時間[min] </t>
    </r>
    <phoneticPr fontId="3"/>
  </si>
  <si>
    <r>
      <rPr>
        <i/>
        <sz val="10"/>
        <rFont val="Cambria"/>
        <family val="1"/>
      </rPr>
      <t>θ</t>
    </r>
    <r>
      <rPr>
        <i/>
        <vertAlign val="subscript"/>
        <sz val="10"/>
        <rFont val="Cambria"/>
        <family val="1"/>
      </rPr>
      <t>s</t>
    </r>
    <r>
      <rPr>
        <vertAlign val="subscript"/>
        <sz val="10"/>
        <rFont val="Cambria"/>
        <family val="1"/>
      </rPr>
      <t xml:space="preserve"> </t>
    </r>
    <r>
      <rPr>
        <sz val="10"/>
        <rFont val="ＭＳ Ｐゴシック"/>
        <family val="3"/>
        <charset val="128"/>
      </rPr>
      <t>： 仕上げすすぎタンクの水の初温</t>
    </r>
    <r>
      <rPr>
        <sz val="10"/>
        <rFont val="Century"/>
        <family val="1"/>
      </rPr>
      <t>[</t>
    </r>
    <r>
      <rPr>
        <sz val="10"/>
        <rFont val="ＭＳ Ｐゴシック"/>
        <family val="3"/>
        <charset val="128"/>
      </rPr>
      <t>℃</t>
    </r>
    <r>
      <rPr>
        <sz val="10"/>
        <rFont val="Century"/>
        <family val="1"/>
      </rPr>
      <t>]</t>
    </r>
    <phoneticPr fontId="3"/>
  </si>
  <si>
    <r>
      <rPr>
        <i/>
        <sz val="10"/>
        <rFont val="Cambria"/>
        <family val="1"/>
      </rPr>
      <t>W</t>
    </r>
    <r>
      <rPr>
        <vertAlign val="subscript"/>
        <sz val="10"/>
        <rFont val="Cambria"/>
        <family val="1"/>
      </rPr>
      <t>f</t>
    </r>
    <r>
      <rPr>
        <sz val="10"/>
        <rFont val="ＭＳ Ｐゴシック"/>
        <family val="3"/>
        <charset val="128"/>
      </rPr>
      <t xml:space="preserve"> ： 洗浄タンクの貯湯量[ℓ]</t>
    </r>
    <phoneticPr fontId="3"/>
  </si>
  <si>
    <r>
      <rPr>
        <i/>
        <sz val="10"/>
        <rFont val="Cambria"/>
        <family val="1"/>
      </rPr>
      <t>W</t>
    </r>
    <r>
      <rPr>
        <vertAlign val="subscript"/>
        <sz val="10"/>
        <rFont val="Cambria"/>
        <family val="1"/>
      </rPr>
      <t>m</t>
    </r>
    <r>
      <rPr>
        <sz val="10"/>
        <rFont val="ＭＳ Ｐゴシック"/>
        <family val="3"/>
        <charset val="128"/>
      </rPr>
      <t xml:space="preserve"> ： 循環すすぎタンクの貯湯量[ℓ]</t>
    </r>
    <phoneticPr fontId="3"/>
  </si>
  <si>
    <r>
      <rPr>
        <i/>
        <sz val="10"/>
        <rFont val="Cambria"/>
        <family val="1"/>
      </rPr>
      <t>C</t>
    </r>
    <r>
      <rPr>
        <i/>
        <sz val="10"/>
        <rFont val="Centaur"/>
        <family val="1"/>
      </rPr>
      <t xml:space="preserve"> </t>
    </r>
    <r>
      <rPr>
        <sz val="10"/>
        <rFont val="ＭＳ Ｐゴシック"/>
        <family val="3"/>
        <charset val="128"/>
      </rPr>
      <t>：</t>
    </r>
    <r>
      <rPr>
        <sz val="10"/>
        <rFont val="Centaur"/>
        <family val="1"/>
      </rPr>
      <t xml:space="preserve"> </t>
    </r>
    <r>
      <rPr>
        <sz val="10"/>
        <rFont val="ＭＳ Ｐゴシック"/>
        <family val="3"/>
        <charset val="128"/>
      </rPr>
      <t>水の比熱</t>
    </r>
    <r>
      <rPr>
        <sz val="10"/>
        <rFont val="ＭＳ Ｐゴシック"/>
        <family val="3"/>
        <charset val="128"/>
        <scheme val="minor"/>
      </rPr>
      <t xml:space="preserve"> 4.19kJ/kg℃</t>
    </r>
    <phoneticPr fontId="3"/>
  </si>
  <si>
    <r>
      <rPr>
        <i/>
        <sz val="10"/>
        <rFont val="Cambria"/>
        <family val="1"/>
      </rPr>
      <t>T</t>
    </r>
    <r>
      <rPr>
        <vertAlign val="subscript"/>
        <sz val="10"/>
        <rFont val="Cambria"/>
        <family val="1"/>
      </rPr>
      <t xml:space="preserve">4 </t>
    </r>
    <r>
      <rPr>
        <sz val="10"/>
        <rFont val="ＭＳ Ｐゴシック"/>
        <family val="3"/>
        <charset val="128"/>
      </rPr>
      <t xml:space="preserve">： </t>
    </r>
    <r>
      <rPr>
        <sz val="9"/>
        <rFont val="ＭＳ Ｐゴシック"/>
        <family val="3"/>
        <charset val="128"/>
      </rPr>
      <t xml:space="preserve">仕上げすすぎタンクが80℃以上の満水に達した時間[min] </t>
    </r>
    <phoneticPr fontId="3"/>
  </si>
  <si>
    <r>
      <rPr>
        <i/>
        <sz val="10"/>
        <rFont val="Cambria"/>
        <family val="1"/>
      </rPr>
      <t>T</t>
    </r>
    <r>
      <rPr>
        <vertAlign val="subscript"/>
        <sz val="10"/>
        <rFont val="Cambria"/>
        <family val="1"/>
      </rPr>
      <t>3</t>
    </r>
    <r>
      <rPr>
        <vertAlign val="subscript"/>
        <sz val="10"/>
        <rFont val="Century"/>
        <family val="1"/>
      </rPr>
      <t xml:space="preserve"> </t>
    </r>
    <r>
      <rPr>
        <sz val="10"/>
        <rFont val="ＭＳ Ｐゴシック"/>
        <family val="3"/>
        <charset val="128"/>
      </rPr>
      <t xml:space="preserve">： </t>
    </r>
    <r>
      <rPr>
        <sz val="9"/>
        <rFont val="ＭＳ Ｐゴシック"/>
        <family val="3"/>
        <charset val="128"/>
      </rPr>
      <t xml:space="preserve">循環すすぎタンクが65℃以上の満水に達した時間[min] </t>
    </r>
    <phoneticPr fontId="3"/>
  </si>
  <si>
    <r>
      <rPr>
        <i/>
        <sz val="10"/>
        <rFont val="Cambria"/>
        <family val="1"/>
      </rPr>
      <t>T</t>
    </r>
    <r>
      <rPr>
        <vertAlign val="subscript"/>
        <sz val="10"/>
        <rFont val="Cambria"/>
        <family val="1"/>
      </rPr>
      <t>1</t>
    </r>
    <r>
      <rPr>
        <sz val="10"/>
        <rFont val="Cambria"/>
        <family val="1"/>
      </rPr>
      <t xml:space="preserve"> </t>
    </r>
    <r>
      <rPr>
        <sz val="10"/>
        <rFont val="ＭＳ Ｐゴシック"/>
        <family val="3"/>
        <charset val="128"/>
      </rPr>
      <t xml:space="preserve">： </t>
    </r>
    <r>
      <rPr>
        <sz val="9"/>
        <rFont val="ＭＳ Ｐゴシック"/>
        <family val="3"/>
        <charset val="128"/>
      </rPr>
      <t>予備洗浄タンクが40℃以上の満水に達した時間[min]  　</t>
    </r>
    <phoneticPr fontId="3"/>
  </si>
  <si>
    <r>
      <t xml:space="preserve"> θ</t>
    </r>
    <r>
      <rPr>
        <vertAlign val="subscript"/>
        <sz val="10"/>
        <rFont val="Cambria"/>
        <family val="1"/>
      </rPr>
      <t>h</t>
    </r>
    <r>
      <rPr>
        <i/>
        <sz val="10"/>
        <rFont val="Cambria"/>
        <family val="1"/>
      </rPr>
      <t xml:space="preserve"> </t>
    </r>
    <r>
      <rPr>
        <sz val="10"/>
        <rFont val="Cambria"/>
        <family val="1"/>
      </rPr>
      <t xml:space="preserve">= </t>
    </r>
    <phoneticPr fontId="3"/>
  </si>
  <si>
    <r>
      <rPr>
        <i/>
        <sz val="11"/>
        <rFont val="Cambria"/>
        <family val="1"/>
      </rPr>
      <t>P</t>
    </r>
    <r>
      <rPr>
        <vertAlign val="subscript"/>
        <sz val="11"/>
        <rFont val="Cambria"/>
        <family val="1"/>
      </rPr>
      <t>sE</t>
    </r>
    <r>
      <rPr>
        <sz val="11"/>
        <rFont val="ＭＳ Ｐゴシック"/>
        <family val="3"/>
        <charset val="128"/>
      </rPr>
      <t xml:space="preserve"> ：待機状態に達した時間までの消費電力量[kWh/回]</t>
    </r>
    <rPh sb="5" eb="7">
      <t>タイキ</t>
    </rPh>
    <rPh sb="7" eb="9">
      <t>ジョウタイ</t>
    </rPh>
    <rPh sb="18" eb="20">
      <t>ショウヒ</t>
    </rPh>
    <rPh sb="20" eb="22">
      <t>デンリョク</t>
    </rPh>
    <rPh sb="22" eb="23">
      <t>リョウ</t>
    </rPh>
    <phoneticPr fontId="3"/>
  </si>
  <si>
    <r>
      <rPr>
        <i/>
        <sz val="10"/>
        <rFont val="Cambria"/>
        <family val="1"/>
      </rPr>
      <t>θ</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仕上げすすぎタンクの水の初温</t>
    </r>
    <r>
      <rPr>
        <sz val="10"/>
        <rFont val="Century"/>
        <family val="1"/>
      </rPr>
      <t>[</t>
    </r>
    <r>
      <rPr>
        <sz val="10"/>
        <rFont val="ＭＳ Ｐゴシック"/>
        <family val="3"/>
        <charset val="128"/>
      </rPr>
      <t>℃</t>
    </r>
    <r>
      <rPr>
        <sz val="10"/>
        <rFont val="Century"/>
        <family val="1"/>
      </rPr>
      <t>]</t>
    </r>
    <phoneticPr fontId="3"/>
  </si>
  <si>
    <t>許容差±10%</t>
    <phoneticPr fontId="3"/>
  </si>
  <si>
    <t>　（ガス）</t>
    <phoneticPr fontId="3"/>
  </si>
  <si>
    <t>　（電気）</t>
    <rPh sb="2" eb="4">
      <t>デンキ</t>
    </rPh>
    <phoneticPr fontId="3"/>
  </si>
  <si>
    <t>5.エネルギー消費量</t>
    <phoneticPr fontId="3"/>
  </si>
  <si>
    <r>
      <rPr>
        <i/>
        <sz val="10"/>
        <rFont val="Cambria"/>
        <family val="1"/>
      </rPr>
      <t>W</t>
    </r>
    <r>
      <rPr>
        <vertAlign val="subscript"/>
        <sz val="10"/>
        <rFont val="Cambria"/>
        <family val="1"/>
      </rPr>
      <t xml:space="preserve">dH </t>
    </r>
    <r>
      <rPr>
        <sz val="10"/>
        <rFont val="ＭＳ Ｐゴシック"/>
        <family val="3"/>
        <charset val="128"/>
      </rPr>
      <t>：日あたり給水量または
　　　　日あたり給湯量　（時間想定）</t>
    </r>
    <r>
      <rPr>
        <sz val="10"/>
        <rFont val="Century"/>
        <family val="1"/>
      </rPr>
      <t>[</t>
    </r>
    <r>
      <rPr>
        <sz val="10"/>
        <rFont val="ＭＳ Ｐゴシック"/>
        <family val="3"/>
        <charset val="128"/>
      </rPr>
      <t>ℓ</t>
    </r>
    <r>
      <rPr>
        <sz val="10"/>
        <rFont val="Century"/>
        <family val="1"/>
      </rPr>
      <t>/</t>
    </r>
    <r>
      <rPr>
        <sz val="10"/>
        <rFont val="ＭＳ Ｐゴシック"/>
        <family val="3"/>
        <charset val="128"/>
      </rPr>
      <t>日</t>
    </r>
    <r>
      <rPr>
        <sz val="10"/>
        <rFont val="Century"/>
        <family val="1"/>
      </rPr>
      <t>]</t>
    </r>
    <rPh sb="9" eb="11">
      <t>キュウスイ</t>
    </rPh>
    <rPh sb="11" eb="12">
      <t>リョウ</t>
    </rPh>
    <rPh sb="20" eb="21">
      <t>ヒ</t>
    </rPh>
    <rPh sb="29" eb="31">
      <t>ジカン</t>
    </rPh>
    <phoneticPr fontId="3"/>
  </si>
  <si>
    <t>6.給水量
　または
　給湯量</t>
    <rPh sb="2" eb="4">
      <t>キュウスイ</t>
    </rPh>
    <rPh sb="4" eb="5">
      <t>リョウ</t>
    </rPh>
    <rPh sb="12" eb="13">
      <t>キュウ</t>
    </rPh>
    <rPh sb="13" eb="14">
      <t>ユ</t>
    </rPh>
    <phoneticPr fontId="3"/>
  </si>
  <si>
    <r>
      <t>　試験機器の最大消費電力と定格消費電力の差</t>
    </r>
    <r>
      <rPr>
        <i/>
        <sz val="10"/>
        <rFont val="Cambria"/>
        <family val="1"/>
      </rPr>
      <t>ε</t>
    </r>
    <r>
      <rPr>
        <vertAlign val="subscript"/>
        <sz val="10"/>
        <rFont val="Cambria"/>
        <family val="1"/>
      </rPr>
      <t>pE</t>
    </r>
    <r>
      <rPr>
        <sz val="10"/>
        <rFont val="ＭＳ Ｐゴシック"/>
        <family val="3"/>
        <charset val="128"/>
      </rPr>
      <t>[%] が消費電力の許容差に適合するように、定格消費電力</t>
    </r>
    <r>
      <rPr>
        <i/>
        <sz val="10"/>
        <rFont val="Cambria"/>
        <family val="1"/>
      </rPr>
      <t>p</t>
    </r>
    <r>
      <rPr>
        <vertAlign val="subscript"/>
        <sz val="10"/>
        <rFont val="Cambria"/>
        <family val="1"/>
      </rPr>
      <t>rE</t>
    </r>
    <r>
      <rPr>
        <sz val="10"/>
        <rFont val="ＭＳ Ｐゴシック"/>
        <family val="3"/>
        <charset val="128"/>
      </rPr>
      <t>[kW] を定める。</t>
    </r>
    <phoneticPr fontId="3"/>
  </si>
  <si>
    <r>
      <rPr>
        <i/>
        <sz val="11"/>
        <rFont val="Cambria"/>
        <family val="1"/>
      </rPr>
      <t>ε</t>
    </r>
    <r>
      <rPr>
        <vertAlign val="subscript"/>
        <sz val="10"/>
        <rFont val="Cambria"/>
        <family val="1"/>
      </rPr>
      <t>pE</t>
    </r>
    <r>
      <rPr>
        <vertAlign val="subscript"/>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試験機器の最大消費電力と定格消費力電の差</t>
    </r>
    <rPh sb="11" eb="13">
      <t>サイダイ</t>
    </rPh>
    <rPh sb="13" eb="15">
      <t>ショウヒ</t>
    </rPh>
    <rPh sb="15" eb="17">
      <t>デンリョク</t>
    </rPh>
    <rPh sb="18" eb="20">
      <t>テイカク</t>
    </rPh>
    <rPh sb="20" eb="22">
      <t>ショウヒ</t>
    </rPh>
    <rPh sb="22" eb="23">
      <t>リョク</t>
    </rPh>
    <rPh sb="23" eb="24">
      <t>デン</t>
    </rPh>
    <rPh sb="25" eb="26">
      <t>サ</t>
    </rPh>
    <phoneticPr fontId="3"/>
  </si>
  <si>
    <r>
      <rPr>
        <i/>
        <sz val="10"/>
        <rFont val="ＭＳ Ｐゴシック"/>
        <family val="3"/>
        <charset val="128"/>
      </rPr>
      <t>　</t>
    </r>
    <r>
      <rPr>
        <i/>
        <sz val="10"/>
        <rFont val="Cambria"/>
        <family val="1"/>
      </rPr>
      <t>ε</t>
    </r>
    <r>
      <rPr>
        <vertAlign val="subscript"/>
        <sz val="10"/>
        <rFont val="Cambria"/>
        <family val="1"/>
      </rPr>
      <t xml:space="preserve">pE </t>
    </r>
    <r>
      <rPr>
        <sz val="10"/>
        <rFont val="ＭＳ Ｐゴシック"/>
        <family val="3"/>
        <charset val="128"/>
      </rPr>
      <t>：</t>
    </r>
    <r>
      <rPr>
        <sz val="10"/>
        <rFont val="Century"/>
        <family val="1"/>
      </rPr>
      <t xml:space="preserve"> </t>
    </r>
    <r>
      <rPr>
        <sz val="10"/>
        <rFont val="ＭＳ Ｐゴシック"/>
        <family val="3"/>
        <charset val="128"/>
      </rPr>
      <t>試験機器の最大消費電力と定格消費電力の差</t>
    </r>
    <rPh sb="12" eb="14">
      <t>サイダイ</t>
    </rPh>
    <rPh sb="14" eb="16">
      <t>ショウヒ</t>
    </rPh>
    <rPh sb="16" eb="18">
      <t>デンリョク</t>
    </rPh>
    <rPh sb="19" eb="21">
      <t>テイカク</t>
    </rPh>
    <rPh sb="21" eb="23">
      <t>ショウヒ</t>
    </rPh>
    <rPh sb="23" eb="24">
      <t>デン</t>
    </rPh>
    <rPh sb="24" eb="25">
      <t>リョク</t>
    </rPh>
    <rPh sb="26" eb="27">
      <t>サ</t>
    </rPh>
    <phoneticPr fontId="3"/>
  </si>
  <si>
    <r>
      <rPr>
        <i/>
        <sz val="10"/>
        <rFont val="ＭＳ Ｐゴシック"/>
        <family val="3"/>
        <charset val="128"/>
      </rPr>
      <t>　</t>
    </r>
    <r>
      <rPr>
        <i/>
        <sz val="10"/>
        <rFont val="Cambria"/>
        <family val="1"/>
      </rPr>
      <t>p</t>
    </r>
    <r>
      <rPr>
        <vertAlign val="subscript"/>
        <sz val="10"/>
        <rFont val="Cambria"/>
        <family val="1"/>
      </rPr>
      <t>rE</t>
    </r>
    <r>
      <rPr>
        <sz val="10"/>
        <rFont val="Cambria"/>
        <family val="1"/>
      </rPr>
      <t xml:space="preserve"> </t>
    </r>
    <r>
      <rPr>
        <sz val="10"/>
        <rFont val="ＭＳ Ｐゴシック"/>
        <family val="3"/>
        <charset val="128"/>
      </rPr>
      <t>： 定格消費電力[kW]</t>
    </r>
    <phoneticPr fontId="3"/>
  </si>
  <si>
    <r>
      <rPr>
        <i/>
        <sz val="10"/>
        <rFont val="ＭＳ Ｐゴシック"/>
        <family val="3"/>
        <charset val="128"/>
      </rPr>
      <t>　</t>
    </r>
    <r>
      <rPr>
        <i/>
        <sz val="10"/>
        <rFont val="Cambria"/>
        <family val="1"/>
      </rPr>
      <t>p</t>
    </r>
    <r>
      <rPr>
        <vertAlign val="subscript"/>
        <sz val="10"/>
        <rFont val="Cambria"/>
        <family val="1"/>
      </rPr>
      <t>xE</t>
    </r>
    <r>
      <rPr>
        <sz val="10"/>
        <rFont val="Cambria"/>
        <family val="1"/>
      </rPr>
      <t xml:space="preserve"> </t>
    </r>
    <r>
      <rPr>
        <sz val="10"/>
        <rFont val="ＭＳ Ｐゴシック"/>
        <family val="3"/>
        <charset val="128"/>
      </rPr>
      <t>： 試験機器の最大消費電力[ｋW]</t>
    </r>
    <rPh sb="12" eb="14">
      <t>サイダイ</t>
    </rPh>
    <rPh sb="14" eb="16">
      <t>ショウヒ</t>
    </rPh>
    <rPh sb="16" eb="18">
      <t>デンリョク</t>
    </rPh>
    <phoneticPr fontId="3"/>
  </si>
  <si>
    <t>[流量計の選択]</t>
    <rPh sb="1" eb="4">
      <t>リュウリョウケイ</t>
    </rPh>
    <rPh sb="5" eb="7">
      <t>センタク</t>
    </rPh>
    <phoneticPr fontId="3"/>
  </si>
  <si>
    <r>
      <rPr>
        <sz val="10"/>
        <rFont val="ＭＳ Ｐゴシック"/>
        <family val="3"/>
        <charset val="128"/>
      </rPr>
      <t>　　　乾式ガス流量計を用いて測定する場合は</t>
    </r>
    <r>
      <rPr>
        <i/>
        <sz val="10"/>
        <rFont val="Cambria"/>
        <family val="1"/>
      </rPr>
      <t>Π</t>
    </r>
    <r>
      <rPr>
        <vertAlign val="subscript"/>
        <sz val="10"/>
        <rFont val="Cambria"/>
        <family val="1"/>
      </rPr>
      <t>s</t>
    </r>
    <r>
      <rPr>
        <sz val="10"/>
        <rFont val="Cambria"/>
        <family val="1"/>
      </rPr>
      <t xml:space="preserve">  = 0</t>
    </r>
    <r>
      <rPr>
        <sz val="10"/>
        <rFont val="ＭＳ Ｐゴシック"/>
        <family val="3"/>
        <charset val="128"/>
      </rPr>
      <t>とする。</t>
    </r>
    <phoneticPr fontId="3"/>
  </si>
  <si>
    <r>
      <rPr>
        <sz val="10"/>
        <rFont val="ＭＳ Ｐゴシック"/>
        <family val="3"/>
        <charset val="128"/>
      </rPr>
      <t>　　　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</si>
  <si>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t>　　　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0とする。</t>
    </r>
    <phoneticPr fontId="3"/>
  </si>
  <si>
    <r>
      <t>　　　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</si>
  <si>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rPr>
        <sz val="10"/>
        <rFont val="ＭＳ Ｐゴシック"/>
        <family val="3"/>
        <charset val="128"/>
      </rPr>
      <t>　試験機器の最大ガス消費量と定格エネルギー消費量（ガス）の差</t>
    </r>
    <r>
      <rPr>
        <i/>
        <sz val="10"/>
        <rFont val="Cambria"/>
        <family val="1"/>
      </rPr>
      <t>ε</t>
    </r>
    <r>
      <rPr>
        <vertAlign val="subscript"/>
        <sz val="10"/>
        <rFont val="Cambria"/>
        <family val="1"/>
      </rPr>
      <t>pG</t>
    </r>
    <r>
      <rPr>
        <sz val="10"/>
        <rFont val="Cambria"/>
        <family val="1"/>
      </rPr>
      <t xml:space="preserve">[%] </t>
    </r>
    <r>
      <rPr>
        <sz val="10"/>
        <rFont val="ＭＳ Ｐゴシック"/>
        <family val="3"/>
        <charset val="128"/>
      </rPr>
      <t>がガス消費量の許容差に適合するように、定格エネルギー消費量（ガス）</t>
    </r>
    <r>
      <rPr>
        <i/>
        <sz val="10"/>
        <rFont val="Cambria"/>
        <family val="1"/>
      </rPr>
      <t>p</t>
    </r>
    <r>
      <rPr>
        <vertAlign val="subscript"/>
        <sz val="10"/>
        <rFont val="Cambria"/>
        <family val="1"/>
      </rPr>
      <t>rG</t>
    </r>
    <r>
      <rPr>
        <sz val="10"/>
        <rFont val="Cambria"/>
        <family val="1"/>
      </rPr>
      <t xml:space="preserve">[kW] </t>
    </r>
    <r>
      <rPr>
        <sz val="10"/>
        <rFont val="ＭＳ Ｐゴシック"/>
        <family val="3"/>
        <charset val="128"/>
      </rPr>
      <t>を定める。
　なお、ガスおよび</t>
    </r>
    <r>
      <rPr>
        <sz val="10"/>
        <rFont val="ＭＳ Ｐゴシック"/>
        <family val="3"/>
        <charset val="128"/>
      </rPr>
      <t>電気など複数のエネルギー源を消費する試験機器の場合には、それぞれ個別に定格エネルギー消費量を定める。</t>
    </r>
    <rPh sb="10" eb="13">
      <t>ショウヒリョウ</t>
    </rPh>
    <rPh sb="23" eb="24">
      <t>リョウ</t>
    </rPh>
    <rPh sb="42" eb="43">
      <t>リョウ</t>
    </rPh>
    <rPh sb="63" eb="65">
      <t>ショウヒ</t>
    </rPh>
    <rPh sb="65" eb="66">
      <t>リョウ</t>
    </rPh>
    <phoneticPr fontId="3"/>
  </si>
  <si>
    <r>
      <t>【ガス】　立上り時ガス消費量：</t>
    </r>
    <r>
      <rPr>
        <b/>
        <i/>
        <sz val="11"/>
        <rFont val="Cambria"/>
        <family val="1"/>
      </rPr>
      <t>Q</t>
    </r>
    <r>
      <rPr>
        <b/>
        <vertAlign val="subscript"/>
        <sz val="11"/>
        <rFont val="Cambria"/>
        <family val="1"/>
      </rPr>
      <t>sG</t>
    </r>
    <r>
      <rPr>
        <b/>
        <sz val="11"/>
        <rFont val="ＭＳ Ｐゴシック"/>
        <family val="3"/>
        <charset val="128"/>
      </rPr>
      <t>[kWh/回]</t>
    </r>
    <rPh sb="5" eb="7">
      <t>タチアガ</t>
    </rPh>
    <rPh sb="8" eb="9">
      <t>ジ</t>
    </rPh>
    <rPh sb="11" eb="14">
      <t>ショウヒリョウ</t>
    </rPh>
    <rPh sb="23" eb="24">
      <t>カイ</t>
    </rPh>
    <phoneticPr fontId="3"/>
  </si>
  <si>
    <r>
      <t>【電気】　立上り時消費電力量：</t>
    </r>
    <r>
      <rPr>
        <b/>
        <i/>
        <sz val="11"/>
        <rFont val="Cambria"/>
        <family val="1"/>
      </rPr>
      <t>Q</t>
    </r>
    <r>
      <rPr>
        <b/>
        <vertAlign val="subscript"/>
        <sz val="11"/>
        <rFont val="Cambria"/>
        <family val="1"/>
      </rPr>
      <t>sE</t>
    </r>
    <r>
      <rPr>
        <b/>
        <sz val="11"/>
        <rFont val="ＭＳ Ｐゴシック"/>
        <family val="3"/>
        <charset val="128"/>
      </rPr>
      <t>[kWh/回]</t>
    </r>
    <rPh sb="1" eb="3">
      <t>デンキ</t>
    </rPh>
    <rPh sb="5" eb="7">
      <t>タチアガ</t>
    </rPh>
    <rPh sb="8" eb="9">
      <t>ジ</t>
    </rPh>
    <rPh sb="9" eb="11">
      <t>ショウヒ</t>
    </rPh>
    <rPh sb="11" eb="13">
      <t>デンリョク</t>
    </rPh>
    <rPh sb="13" eb="14">
      <t>リョウ</t>
    </rPh>
    <rPh sb="23" eb="24">
      <t>カイ</t>
    </rPh>
    <phoneticPr fontId="3"/>
  </si>
  <si>
    <r>
      <t>【電気】　試験食器なし処理時消費電力量：</t>
    </r>
    <r>
      <rPr>
        <b/>
        <i/>
        <sz val="11"/>
        <rFont val="Cambria"/>
        <family val="1"/>
      </rPr>
      <t>Q</t>
    </r>
    <r>
      <rPr>
        <b/>
        <vertAlign val="subscript"/>
        <sz val="11"/>
        <rFont val="Cambria"/>
        <family val="1"/>
      </rPr>
      <t>c0E</t>
    </r>
    <r>
      <rPr>
        <b/>
        <sz val="11"/>
        <rFont val="ＭＳ Ｐゴシック"/>
        <family val="3"/>
        <charset val="128"/>
      </rPr>
      <t>[kWh/h]</t>
    </r>
    <rPh sb="1" eb="3">
      <t>デンキ</t>
    </rPh>
    <rPh sb="5" eb="7">
      <t>シケン</t>
    </rPh>
    <rPh sb="7" eb="9">
      <t>ショッキ</t>
    </rPh>
    <rPh sb="11" eb="13">
      <t>ショリ</t>
    </rPh>
    <rPh sb="13" eb="14">
      <t>ジ</t>
    </rPh>
    <rPh sb="14" eb="16">
      <t>ショウヒ</t>
    </rPh>
    <rPh sb="16" eb="18">
      <t>デンリョク</t>
    </rPh>
    <rPh sb="18" eb="19">
      <t>リョウ</t>
    </rPh>
    <phoneticPr fontId="3"/>
  </si>
  <si>
    <r>
      <t>【電気】　処理時消費電力量：</t>
    </r>
    <r>
      <rPr>
        <b/>
        <i/>
        <sz val="11"/>
        <rFont val="Cambria"/>
        <family val="1"/>
      </rPr>
      <t>Q</t>
    </r>
    <r>
      <rPr>
        <b/>
        <vertAlign val="subscript"/>
        <sz val="11"/>
        <rFont val="Cambria"/>
        <family val="1"/>
      </rPr>
      <t>cE</t>
    </r>
    <r>
      <rPr>
        <b/>
        <sz val="11"/>
        <rFont val="Cambria"/>
        <family val="1"/>
      </rPr>
      <t>[</t>
    </r>
    <r>
      <rPr>
        <b/>
        <sz val="11"/>
        <rFont val="ＭＳ Ｐゴシック"/>
        <family val="3"/>
        <charset val="128"/>
      </rPr>
      <t>kWh/h]</t>
    </r>
    <rPh sb="1" eb="3">
      <t>デンキ</t>
    </rPh>
    <rPh sb="5" eb="7">
      <t>ショリ</t>
    </rPh>
    <rPh sb="7" eb="8">
      <t>ジ</t>
    </rPh>
    <rPh sb="8" eb="10">
      <t>ショウヒ</t>
    </rPh>
    <rPh sb="10" eb="12">
      <t>デンリョク</t>
    </rPh>
    <rPh sb="12" eb="13">
      <t>リョウ</t>
    </rPh>
    <phoneticPr fontId="3"/>
  </si>
  <si>
    <r>
      <t>【ガス】　待機時ガス消費量：</t>
    </r>
    <r>
      <rPr>
        <b/>
        <i/>
        <sz val="11"/>
        <rFont val="Cambria"/>
        <family val="1"/>
      </rPr>
      <t>Q</t>
    </r>
    <r>
      <rPr>
        <b/>
        <vertAlign val="subscript"/>
        <sz val="11"/>
        <rFont val="Cambria"/>
        <family val="1"/>
      </rPr>
      <t>iG</t>
    </r>
    <r>
      <rPr>
        <b/>
        <sz val="11"/>
        <rFont val="ＭＳ Ｐゴシック"/>
        <family val="3"/>
        <charset val="128"/>
      </rPr>
      <t>[kWh/h]</t>
    </r>
    <rPh sb="5" eb="7">
      <t>タイキ</t>
    </rPh>
    <rPh sb="7" eb="8">
      <t>ジ</t>
    </rPh>
    <rPh sb="10" eb="13">
      <t>ショウヒリョウ</t>
    </rPh>
    <phoneticPr fontId="3"/>
  </si>
  <si>
    <r>
      <t>【電気】　待機時消費電力量：</t>
    </r>
    <r>
      <rPr>
        <b/>
        <i/>
        <sz val="11"/>
        <rFont val="Cambria"/>
        <family val="1"/>
      </rPr>
      <t>Q</t>
    </r>
    <r>
      <rPr>
        <b/>
        <i/>
        <vertAlign val="subscript"/>
        <sz val="11"/>
        <rFont val="Cambria"/>
        <family val="1"/>
      </rPr>
      <t>iE</t>
    </r>
    <r>
      <rPr>
        <b/>
        <sz val="11"/>
        <rFont val="ＭＳ Ｐゴシック"/>
        <family val="3"/>
        <charset val="128"/>
      </rPr>
      <t>[kWh/h]</t>
    </r>
    <rPh sb="1" eb="3">
      <t>デンキ</t>
    </rPh>
    <rPh sb="5" eb="7">
      <t>タイキ</t>
    </rPh>
    <rPh sb="7" eb="8">
      <t>ジ</t>
    </rPh>
    <rPh sb="8" eb="10">
      <t>ショウヒ</t>
    </rPh>
    <rPh sb="10" eb="12">
      <t>デンリョク</t>
    </rPh>
    <rPh sb="12" eb="13">
      <t>リョウ</t>
    </rPh>
    <phoneticPr fontId="3"/>
  </si>
  <si>
    <r>
      <t>【ガス】　日あたりガス消費量（時間想定）：</t>
    </r>
    <r>
      <rPr>
        <b/>
        <i/>
        <sz val="11"/>
        <rFont val="Cambria"/>
        <family val="1"/>
      </rPr>
      <t>Q</t>
    </r>
    <r>
      <rPr>
        <b/>
        <vertAlign val="subscript"/>
        <sz val="11"/>
        <rFont val="Cambria"/>
        <family val="1"/>
      </rPr>
      <t>dHG</t>
    </r>
    <r>
      <rPr>
        <b/>
        <sz val="11"/>
        <rFont val="ＭＳ Ｐゴシック"/>
        <family val="3"/>
        <charset val="128"/>
      </rPr>
      <t>[kWh/h]</t>
    </r>
    <rPh sb="5" eb="6">
      <t>ヒ</t>
    </rPh>
    <rPh sb="11" eb="14">
      <t>ショウヒリョウ</t>
    </rPh>
    <rPh sb="15" eb="17">
      <t>ジカン</t>
    </rPh>
    <rPh sb="17" eb="19">
      <t>ソウテイ</t>
    </rPh>
    <phoneticPr fontId="3"/>
  </si>
  <si>
    <r>
      <t>【電気】　日あたり消費電力量（時間想定）：</t>
    </r>
    <r>
      <rPr>
        <b/>
        <i/>
        <sz val="11"/>
        <rFont val="Cambria"/>
        <family val="1"/>
      </rPr>
      <t>Q</t>
    </r>
    <r>
      <rPr>
        <b/>
        <vertAlign val="subscript"/>
        <sz val="11"/>
        <rFont val="Cambria"/>
        <family val="1"/>
      </rPr>
      <t>dHE</t>
    </r>
    <r>
      <rPr>
        <b/>
        <sz val="11"/>
        <rFont val="ＭＳ Ｐゴシック"/>
        <family val="3"/>
        <charset val="128"/>
      </rPr>
      <t>[kWh/h]</t>
    </r>
    <rPh sb="1" eb="3">
      <t>デンキ</t>
    </rPh>
    <rPh sb="5" eb="6">
      <t>ヒ</t>
    </rPh>
    <rPh sb="9" eb="11">
      <t>ショウヒ</t>
    </rPh>
    <rPh sb="11" eb="13">
      <t>デンリョク</t>
    </rPh>
    <rPh sb="13" eb="14">
      <t>リョウ</t>
    </rPh>
    <rPh sb="15" eb="17">
      <t>ジカン</t>
    </rPh>
    <rPh sb="17" eb="19">
      <t>ソウテイ</t>
    </rPh>
    <phoneticPr fontId="3"/>
  </si>
  <si>
    <r>
      <t>【ガス】　処理時ガス消費量：</t>
    </r>
    <r>
      <rPr>
        <b/>
        <i/>
        <sz val="11"/>
        <rFont val="Cambria"/>
        <family val="1"/>
      </rPr>
      <t>Q</t>
    </r>
    <r>
      <rPr>
        <b/>
        <vertAlign val="subscript"/>
        <sz val="11"/>
        <rFont val="Cambria"/>
        <family val="1"/>
      </rPr>
      <t>cG</t>
    </r>
    <r>
      <rPr>
        <b/>
        <sz val="11"/>
        <rFont val="ＭＳ Ｐゴシック"/>
        <family val="3"/>
        <charset val="128"/>
      </rPr>
      <t>[kWh/h]</t>
    </r>
    <rPh sb="5" eb="7">
      <t>ショリ</t>
    </rPh>
    <rPh sb="7" eb="8">
      <t>ジ</t>
    </rPh>
    <rPh sb="10" eb="13">
      <t>ショウヒリョウ</t>
    </rPh>
    <phoneticPr fontId="3"/>
  </si>
  <si>
    <t>[給湯接続]</t>
    <rPh sb="1" eb="3">
      <t>キュウトウ</t>
    </rPh>
    <rPh sb="3" eb="5">
      <t>セツゾク</t>
    </rPh>
    <phoneticPr fontId="3"/>
  </si>
  <si>
    <t>[給水接続]</t>
    <rPh sb="1" eb="3">
      <t>キュウスイ</t>
    </rPh>
    <rPh sb="3" eb="5">
      <t>セツゾク</t>
    </rPh>
    <phoneticPr fontId="3"/>
  </si>
  <si>
    <t>　　[給水接続]</t>
    <rPh sb="3" eb="5">
      <t>キュウスイ</t>
    </rPh>
    <rPh sb="5" eb="7">
      <t>セツゾク</t>
    </rPh>
    <phoneticPr fontId="3"/>
  </si>
  <si>
    <r>
      <rPr>
        <i/>
        <sz val="10"/>
        <rFont val="Cambria"/>
        <family val="1"/>
      </rPr>
      <t>Q</t>
    </r>
    <r>
      <rPr>
        <vertAlign val="subscript"/>
        <sz val="10"/>
        <rFont val="Cambria"/>
        <family val="1"/>
      </rPr>
      <t>cG</t>
    </r>
    <r>
      <rPr>
        <vertAlign val="subscript"/>
        <sz val="10"/>
        <rFont val="Century"/>
        <family val="1"/>
      </rPr>
      <t xml:space="preserve"> </t>
    </r>
    <r>
      <rPr>
        <sz val="10"/>
        <rFont val="ＭＳ Ｐゴシック"/>
        <family val="3"/>
        <charset val="128"/>
      </rPr>
      <t>: 処理時ガス消費量[kWh/h]</t>
    </r>
    <rPh sb="11" eb="13">
      <t>ショウヒ</t>
    </rPh>
    <rPh sb="13" eb="14">
      <t>リョウ</t>
    </rPh>
    <phoneticPr fontId="3"/>
  </si>
  <si>
    <r>
      <rPr>
        <i/>
        <sz val="10"/>
        <rFont val="Cambria"/>
        <family val="1"/>
      </rPr>
      <t>Q</t>
    </r>
    <r>
      <rPr>
        <vertAlign val="subscript"/>
        <sz val="10"/>
        <rFont val="Cambria"/>
        <family val="1"/>
      </rPr>
      <t>iG</t>
    </r>
    <r>
      <rPr>
        <sz val="10"/>
        <rFont val="Cambria"/>
        <family val="1"/>
      </rPr>
      <t xml:space="preserve"> </t>
    </r>
    <r>
      <rPr>
        <sz val="10"/>
        <rFont val="ＭＳ Ｐゴシック"/>
        <family val="3"/>
        <charset val="128"/>
      </rPr>
      <t>: 待機時ガス消費量[kWh/h]</t>
    </r>
    <phoneticPr fontId="3"/>
  </si>
  <si>
    <t>[給湯接続]、[給水接続]とも</t>
    <rPh sb="1" eb="3">
      <t>キュウトウ</t>
    </rPh>
    <rPh sb="3" eb="5">
      <t>セツゾク</t>
    </rPh>
    <rPh sb="8" eb="10">
      <t>キュウスイ</t>
    </rPh>
    <rPh sb="10" eb="12">
      <t>セツゾク</t>
    </rPh>
    <phoneticPr fontId="3"/>
  </si>
  <si>
    <r>
      <t>【ガス】　試験食器なし処理時ガス消費量：</t>
    </r>
    <r>
      <rPr>
        <b/>
        <i/>
        <sz val="11"/>
        <rFont val="Cambria"/>
        <family val="1"/>
      </rPr>
      <t>Q</t>
    </r>
    <r>
      <rPr>
        <b/>
        <vertAlign val="subscript"/>
        <sz val="11"/>
        <rFont val="Cambria"/>
        <family val="1"/>
      </rPr>
      <t>c0G</t>
    </r>
    <r>
      <rPr>
        <b/>
        <sz val="11"/>
        <rFont val="ＭＳ Ｐゴシック"/>
        <family val="3"/>
        <charset val="128"/>
      </rPr>
      <t>[kWh/h]</t>
    </r>
    <rPh sb="5" eb="7">
      <t>シケン</t>
    </rPh>
    <rPh sb="7" eb="9">
      <t>ショッキ</t>
    </rPh>
    <rPh sb="11" eb="13">
      <t>ショリ</t>
    </rPh>
    <rPh sb="13" eb="14">
      <t>ジ</t>
    </rPh>
    <rPh sb="16" eb="19">
      <t>ショウヒリョウ</t>
    </rPh>
    <phoneticPr fontId="3"/>
  </si>
  <si>
    <r>
      <t>試験食器なし洗浄試験時のガス消費量</t>
    </r>
    <r>
      <rPr>
        <i/>
        <sz val="10"/>
        <rFont val="Cambria"/>
        <family val="1"/>
      </rPr>
      <t>P</t>
    </r>
    <r>
      <rPr>
        <vertAlign val="subscript"/>
        <sz val="10"/>
        <rFont val="Cambria"/>
        <family val="1"/>
      </rPr>
      <t>c0G</t>
    </r>
    <r>
      <rPr>
        <sz val="10"/>
        <rFont val="Cambria"/>
        <family val="1"/>
      </rPr>
      <t>[kWh]</t>
    </r>
    <r>
      <rPr>
        <sz val="10"/>
        <rFont val="ＭＳ Ｐゴシック"/>
        <family val="3"/>
        <charset val="128"/>
      </rPr>
      <t>は、次式にて算出する。</t>
    </r>
    <rPh sb="28" eb="30">
      <t>ジシキ</t>
    </rPh>
    <rPh sb="32" eb="34">
      <t>サンシュツ</t>
    </rPh>
    <phoneticPr fontId="3"/>
  </si>
  <si>
    <r>
      <t>待機時のガス消費量</t>
    </r>
    <r>
      <rPr>
        <i/>
        <sz val="10"/>
        <rFont val="Cambria"/>
        <family val="1"/>
      </rPr>
      <t>P</t>
    </r>
    <r>
      <rPr>
        <vertAlign val="subscript"/>
        <sz val="10"/>
        <rFont val="Cambria"/>
        <family val="1"/>
      </rPr>
      <t>iG</t>
    </r>
    <r>
      <rPr>
        <sz val="10"/>
        <rFont val="Cambria"/>
        <family val="1"/>
      </rPr>
      <t>[kWh]</t>
    </r>
    <r>
      <rPr>
        <sz val="10"/>
        <rFont val="ＭＳ Ｐゴシック"/>
        <family val="3"/>
        <charset val="128"/>
      </rPr>
      <t>は、次式にて算出する。</t>
    </r>
    <rPh sb="0" eb="2">
      <t>タイキ</t>
    </rPh>
    <rPh sb="2" eb="3">
      <t>ジ</t>
    </rPh>
    <rPh sb="6" eb="9">
      <t>ショウヒリョウ</t>
    </rPh>
    <rPh sb="19" eb="21">
      <t>ジシキ</t>
    </rPh>
    <rPh sb="23" eb="25">
      <t>サンシュツ</t>
    </rPh>
    <phoneticPr fontId="3"/>
  </si>
  <si>
    <t xml:space="preserve">       ガス消費量の許容差</t>
    <rPh sb="9" eb="11">
      <t>ショウヒ</t>
    </rPh>
    <rPh sb="11" eb="12">
      <t>リョウ</t>
    </rPh>
    <rPh sb="13" eb="15">
      <t>キョヨウ</t>
    </rPh>
    <rPh sb="15" eb="16">
      <t>サ</t>
    </rPh>
    <phoneticPr fontId="3"/>
  </si>
  <si>
    <r>
      <t xml:space="preserve">  </t>
    </r>
    <r>
      <rPr>
        <i/>
        <sz val="10"/>
        <rFont val="Cambria"/>
        <family val="1"/>
      </rPr>
      <t>ε</t>
    </r>
    <r>
      <rPr>
        <vertAlign val="subscript"/>
        <sz val="10"/>
        <rFont val="Cambria"/>
        <family val="1"/>
      </rPr>
      <t>pG</t>
    </r>
    <r>
      <rPr>
        <vertAlign val="subscript"/>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試験機器の最大ガス消費量
　　　</t>
    </r>
    <r>
      <rPr>
        <sz val="10"/>
        <rFont val="Century"/>
        <family val="1"/>
      </rPr>
      <t xml:space="preserve">  </t>
    </r>
    <r>
      <rPr>
        <sz val="10"/>
        <rFont val="ＭＳ Ｐゴシック"/>
        <family val="3"/>
        <charset val="128"/>
      </rPr>
      <t>　と</t>
    </r>
    <r>
      <rPr>
        <sz val="10"/>
        <rFont val="Century"/>
        <family val="1"/>
      </rPr>
      <t xml:space="preserve"> </t>
    </r>
    <r>
      <rPr>
        <sz val="10"/>
        <rFont val="ＭＳ Ｐゴシック"/>
        <family val="3"/>
        <charset val="128"/>
      </rPr>
      <t>定格エネルギー消費量（ガス）の差</t>
    </r>
    <rPh sb="13" eb="15">
      <t>サイダイ</t>
    </rPh>
    <rPh sb="17" eb="19">
      <t>ショウヒ</t>
    </rPh>
    <rPh sb="19" eb="20">
      <t>リョウ</t>
    </rPh>
    <rPh sb="29" eb="31">
      <t>テイカク</t>
    </rPh>
    <rPh sb="36" eb="38">
      <t>ショウヒ</t>
    </rPh>
    <rPh sb="38" eb="39">
      <t>リョウ</t>
    </rPh>
    <rPh sb="44" eb="45">
      <t>サ</t>
    </rPh>
    <phoneticPr fontId="3"/>
  </si>
  <si>
    <r>
      <t xml:space="preserve">  </t>
    </r>
    <r>
      <rPr>
        <i/>
        <sz val="11"/>
        <rFont val="Cambria"/>
        <family val="1"/>
      </rPr>
      <t>ε</t>
    </r>
    <r>
      <rPr>
        <vertAlign val="subscript"/>
        <sz val="10"/>
        <rFont val="Cambria"/>
        <family val="1"/>
      </rPr>
      <t>pE</t>
    </r>
    <r>
      <rPr>
        <vertAlign val="subscript"/>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試験機器の最大消費電力と定格消費力電の差</t>
    </r>
    <rPh sb="13" eb="15">
      <t>サイダイ</t>
    </rPh>
    <rPh sb="15" eb="17">
      <t>ショウヒ</t>
    </rPh>
    <rPh sb="17" eb="19">
      <t>デンリョク</t>
    </rPh>
    <rPh sb="20" eb="22">
      <t>テイカク</t>
    </rPh>
    <rPh sb="22" eb="24">
      <t>ショウヒ</t>
    </rPh>
    <rPh sb="24" eb="25">
      <t>リョク</t>
    </rPh>
    <rPh sb="25" eb="26">
      <t>デン</t>
    </rPh>
    <rPh sb="27" eb="28">
      <t>サ</t>
    </rPh>
    <phoneticPr fontId="3"/>
  </si>
  <si>
    <t>性能測定結果</t>
    <rPh sb="0" eb="2">
      <t>セイノウ</t>
    </rPh>
    <rPh sb="2" eb="4">
      <t>ソクテイ</t>
    </rPh>
    <rPh sb="4" eb="6">
      <t>ケッカ</t>
    </rPh>
    <phoneticPr fontId="3"/>
  </si>
  <si>
    <r>
      <t xml:space="preserve">タンク貯湯量
加熱源
</t>
    </r>
    <r>
      <rPr>
        <sz val="7"/>
        <rFont val="ＭＳ Ｐゴシック"/>
        <family val="3"/>
        <charset val="128"/>
      </rPr>
      <t>※同種のタンクが複数あるものは同種のタンクを合算して1つのタンクとして扱う</t>
    </r>
    <rPh sb="3" eb="4">
      <t>チョ</t>
    </rPh>
    <rPh sb="4" eb="5">
      <t>トウ</t>
    </rPh>
    <rPh sb="5" eb="6">
      <t>リョウ</t>
    </rPh>
    <rPh sb="7" eb="9">
      <t>カネツ</t>
    </rPh>
    <rPh sb="9" eb="10">
      <t>ゲン</t>
    </rPh>
    <rPh sb="12" eb="14">
      <t>ドウシュ</t>
    </rPh>
    <rPh sb="19" eb="21">
      <t>フクスウ</t>
    </rPh>
    <rPh sb="26" eb="28">
      <t>ドウシュ</t>
    </rPh>
    <rPh sb="33" eb="35">
      <t>ガッサン</t>
    </rPh>
    <rPh sb="46" eb="47">
      <t>アツカ</t>
    </rPh>
    <phoneticPr fontId="3"/>
  </si>
  <si>
    <r>
      <rPr>
        <i/>
        <sz val="10"/>
        <rFont val="Cambria"/>
        <family val="1"/>
      </rPr>
      <t>T</t>
    </r>
    <r>
      <rPr>
        <vertAlign val="subscript"/>
        <sz val="10"/>
        <rFont val="Cambria"/>
        <family val="1"/>
      </rPr>
      <t xml:space="preserve">iE </t>
    </r>
    <r>
      <rPr>
        <sz val="10"/>
        <rFont val="ＭＳ Ｐゴシック"/>
        <family val="3"/>
        <charset val="128"/>
      </rPr>
      <t>：</t>
    </r>
    <r>
      <rPr>
        <sz val="10"/>
        <rFont val="Cambria"/>
        <family val="1"/>
      </rPr>
      <t xml:space="preserve"> </t>
    </r>
    <r>
      <rPr>
        <sz val="10"/>
        <rFont val="ＭＳ Ｐゴシック"/>
        <family val="3"/>
        <charset val="128"/>
      </rPr>
      <t>待機時の消費電力量の測定時間</t>
    </r>
    <r>
      <rPr>
        <sz val="10"/>
        <rFont val="Century"/>
        <family val="1"/>
      </rPr>
      <t xml:space="preserve"> [</t>
    </r>
    <r>
      <rPr>
        <sz val="10"/>
        <rFont val="ＭＳ Ｐゴシック"/>
        <family val="3"/>
        <charset val="128"/>
      </rPr>
      <t>min]</t>
    </r>
    <rPh sb="6" eb="8">
      <t>タイキ</t>
    </rPh>
    <rPh sb="8" eb="9">
      <t>ジ</t>
    </rPh>
    <rPh sb="10" eb="12">
      <t>ショウヒ</t>
    </rPh>
    <rPh sb="12" eb="14">
      <t>デンリョク</t>
    </rPh>
    <rPh sb="14" eb="15">
      <t>リョウ</t>
    </rPh>
    <rPh sb="16" eb="18">
      <t>ソクテイ</t>
    </rPh>
    <rPh sb="18" eb="20">
      <t>ジカン</t>
    </rPh>
    <phoneticPr fontId="3"/>
  </si>
  <si>
    <r>
      <rPr>
        <i/>
        <sz val="10"/>
        <rFont val="Cambria"/>
        <family val="1"/>
      </rPr>
      <t>T</t>
    </r>
    <r>
      <rPr>
        <vertAlign val="subscript"/>
        <sz val="10"/>
        <rFont val="Cambria"/>
        <family val="1"/>
      </rPr>
      <t>i</t>
    </r>
    <r>
      <rPr>
        <sz val="10"/>
        <rFont val="ＭＳ Ｐゴシック"/>
        <family val="3"/>
        <charset val="128"/>
      </rPr>
      <t>：待機時エネルギー消費量の測定時間[min]</t>
    </r>
    <rPh sb="3" eb="5">
      <t>タイキ</t>
    </rPh>
    <rPh sb="5" eb="6">
      <t>ジ</t>
    </rPh>
    <rPh sb="11" eb="14">
      <t>ショウヒリョウ</t>
    </rPh>
    <rPh sb="15" eb="17">
      <t>ソクテイ</t>
    </rPh>
    <rPh sb="17" eb="19">
      <t>ジカン</t>
    </rPh>
    <phoneticPr fontId="3"/>
  </si>
  <si>
    <t>（許容差 10%）</t>
    <rPh sb="1" eb="4">
      <t>キョヨウサ</t>
    </rPh>
    <phoneticPr fontId="3"/>
  </si>
  <si>
    <t>（ガス）</t>
    <phoneticPr fontId="3"/>
  </si>
  <si>
    <t>（電気）</t>
    <rPh sb="1" eb="3">
      <t>デンキ</t>
    </rPh>
    <phoneticPr fontId="3"/>
  </si>
  <si>
    <t>（ガス）</t>
    <phoneticPr fontId="3"/>
  </si>
  <si>
    <r>
      <t>（m</t>
    </r>
    <r>
      <rPr>
        <vertAlign val="superscript"/>
        <sz val="10"/>
        <rFont val="ＭＳ Ｐゴシック"/>
        <family val="3"/>
        <charset val="128"/>
      </rPr>
      <t>3</t>
    </r>
    <r>
      <rPr>
        <sz val="10"/>
        <rFont val="ＭＳ Ｐゴシック"/>
        <family val="3"/>
        <charset val="128"/>
      </rPr>
      <t>）</t>
    </r>
    <phoneticPr fontId="3"/>
  </si>
  <si>
    <r>
      <t>（ｋJ/m</t>
    </r>
    <r>
      <rPr>
        <vertAlign val="superscript"/>
        <sz val="10"/>
        <rFont val="ＭＳ Ｐゴシック"/>
        <family val="3"/>
        <charset val="128"/>
      </rPr>
      <t>3</t>
    </r>
    <r>
      <rPr>
        <sz val="10"/>
        <rFont val="ＭＳ Ｐゴシック"/>
        <family val="3"/>
        <charset val="128"/>
      </rPr>
      <t>N)</t>
    </r>
    <phoneticPr fontId="3"/>
  </si>
  <si>
    <r>
      <t>（ｍ</t>
    </r>
    <r>
      <rPr>
        <vertAlign val="superscript"/>
        <sz val="10"/>
        <rFont val="ＭＳ Ｐゴシック"/>
        <family val="3"/>
        <charset val="128"/>
      </rPr>
      <t>３</t>
    </r>
    <r>
      <rPr>
        <sz val="10"/>
        <rFont val="ＭＳ Ｐゴシック"/>
        <family val="3"/>
        <charset val="128"/>
      </rPr>
      <t>）</t>
    </r>
    <phoneticPr fontId="3"/>
  </si>
  <si>
    <r>
      <rPr>
        <i/>
        <sz val="14"/>
        <rFont val="Cambria"/>
        <family val="1"/>
      </rPr>
      <t>p</t>
    </r>
    <r>
      <rPr>
        <vertAlign val="subscript"/>
        <sz val="14"/>
        <rFont val="Cambria"/>
        <family val="1"/>
      </rPr>
      <t>rG</t>
    </r>
    <r>
      <rPr>
        <sz val="12"/>
        <rFont val="Cambria"/>
        <family val="1"/>
      </rPr>
      <t xml:space="preserve"> =  </t>
    </r>
    <phoneticPr fontId="3"/>
  </si>
  <si>
    <r>
      <rPr>
        <i/>
        <sz val="14"/>
        <rFont val="Cambria"/>
        <family val="1"/>
      </rPr>
      <t>p</t>
    </r>
    <r>
      <rPr>
        <vertAlign val="subscript"/>
        <sz val="14"/>
        <rFont val="Cambria"/>
        <family val="1"/>
      </rPr>
      <t>rE</t>
    </r>
    <r>
      <rPr>
        <sz val="14"/>
        <rFont val="Cambria"/>
        <family val="1"/>
      </rPr>
      <t xml:space="preserve"> </t>
    </r>
    <r>
      <rPr>
        <sz val="12"/>
        <rFont val="Cambria"/>
        <family val="1"/>
      </rPr>
      <t xml:space="preserve">=  </t>
    </r>
    <phoneticPr fontId="3"/>
  </si>
  <si>
    <r>
      <rPr>
        <i/>
        <sz val="14"/>
        <rFont val="Cambria"/>
        <family val="1"/>
      </rPr>
      <t>V</t>
    </r>
    <r>
      <rPr>
        <vertAlign val="subscript"/>
        <sz val="14"/>
        <rFont val="Cambria"/>
        <family val="1"/>
      </rPr>
      <t>C</t>
    </r>
    <r>
      <rPr>
        <sz val="10"/>
        <rFont val="Cambria"/>
        <family val="1"/>
      </rPr>
      <t xml:space="preserve"> =</t>
    </r>
    <phoneticPr fontId="3"/>
  </si>
  <si>
    <r>
      <rPr>
        <i/>
        <sz val="14"/>
        <rFont val="Cambria"/>
        <family val="1"/>
      </rPr>
      <t>W</t>
    </r>
    <r>
      <rPr>
        <vertAlign val="subscript"/>
        <sz val="14"/>
        <rFont val="Cambria"/>
        <family val="1"/>
      </rPr>
      <t>s</t>
    </r>
    <r>
      <rPr>
        <i/>
        <sz val="12"/>
        <rFont val="Cambria"/>
        <family val="1"/>
      </rPr>
      <t xml:space="preserve"> </t>
    </r>
    <r>
      <rPr>
        <sz val="12"/>
        <rFont val="Cambria"/>
        <family val="1"/>
      </rPr>
      <t>=</t>
    </r>
    <phoneticPr fontId="3"/>
  </si>
  <si>
    <r>
      <rPr>
        <i/>
        <sz val="14"/>
        <rFont val="Cambria"/>
        <family val="1"/>
      </rPr>
      <t>W</t>
    </r>
    <r>
      <rPr>
        <vertAlign val="subscript"/>
        <sz val="14"/>
        <rFont val="Cambria"/>
        <family val="1"/>
      </rPr>
      <t>c</t>
    </r>
    <r>
      <rPr>
        <sz val="14"/>
        <rFont val="Cambria"/>
        <family val="1"/>
      </rPr>
      <t xml:space="preserve"> </t>
    </r>
    <r>
      <rPr>
        <sz val="12"/>
        <rFont val="Cambria"/>
        <family val="1"/>
      </rPr>
      <t>=</t>
    </r>
    <phoneticPr fontId="3"/>
  </si>
  <si>
    <r>
      <rPr>
        <i/>
        <sz val="14"/>
        <rFont val="Cambria"/>
        <family val="1"/>
      </rPr>
      <t xml:space="preserve">  W</t>
    </r>
    <r>
      <rPr>
        <vertAlign val="subscript"/>
        <sz val="14"/>
        <rFont val="Cambria"/>
        <family val="1"/>
      </rPr>
      <t>dH</t>
    </r>
    <r>
      <rPr>
        <vertAlign val="subscript"/>
        <sz val="10"/>
        <rFont val="Cambria"/>
        <family val="1"/>
      </rPr>
      <t xml:space="preserve"> </t>
    </r>
    <r>
      <rPr>
        <sz val="10"/>
        <rFont val="Cambria"/>
        <family val="1"/>
      </rPr>
      <t>=</t>
    </r>
    <phoneticPr fontId="3"/>
  </si>
  <si>
    <r>
      <t>Q</t>
    </r>
    <r>
      <rPr>
        <vertAlign val="subscript"/>
        <sz val="10"/>
        <rFont val="Cambria"/>
        <family val="1"/>
      </rPr>
      <t>c0E</t>
    </r>
    <r>
      <rPr>
        <sz val="10"/>
        <rFont val="Cambria"/>
        <family val="1"/>
      </rPr>
      <t xml:space="preserve"> =</t>
    </r>
    <phoneticPr fontId="3"/>
  </si>
  <si>
    <r>
      <rPr>
        <i/>
        <sz val="10"/>
        <rFont val="Cambria"/>
        <family val="1"/>
      </rPr>
      <t>S</t>
    </r>
    <r>
      <rPr>
        <vertAlign val="subscript"/>
        <sz val="10"/>
        <rFont val="Cambria"/>
        <family val="1"/>
      </rPr>
      <t>c</t>
    </r>
    <r>
      <rPr>
        <sz val="10"/>
        <rFont val="ＭＳ Ｐゴシック"/>
        <family val="3"/>
        <charset val="128"/>
      </rPr>
      <t>：試験機器の標準コンベア速度[m/min]  （一般社団法人日本厨房工業会「業務用食器洗浄機基準JFEA007-2012」の汚れ除去の効果に対する要件を満たす速度であること。）</t>
    </r>
    <rPh sb="26" eb="28">
      <t>イッパン</t>
    </rPh>
    <rPh sb="28" eb="30">
      <t>シャダン</t>
    </rPh>
    <rPh sb="30" eb="32">
      <t>ホウジン</t>
    </rPh>
    <phoneticPr fontId="3"/>
  </si>
  <si>
    <r>
      <rPr>
        <sz val="10"/>
        <rFont val="ＭＳ Ｐゴシック"/>
        <family val="3"/>
        <charset val="128"/>
      </rPr>
      <t>　試験機器を待機状態にて、洗浄運転をしないで放置した状態（洗浄運転スイッチが切れた状態）にしてガス消費量および消費電力量を測定する。待機状態を維持するために加熱または停止を周期的に繰り返す試験機器の測定時間は、待機状態に達してから</t>
    </r>
    <r>
      <rPr>
        <sz val="10"/>
        <rFont val="Cambria"/>
        <family val="1"/>
      </rPr>
      <t>1</t>
    </r>
    <r>
      <rPr>
        <sz val="10"/>
        <rFont val="ＭＳ Ｐゴシック"/>
        <family val="3"/>
        <charset val="128"/>
      </rPr>
      <t>時間以上経た後、加熱が終了した直後から</t>
    </r>
    <r>
      <rPr>
        <sz val="10"/>
        <rFont val="Cambria"/>
        <family val="1"/>
      </rPr>
      <t>1</t>
    </r>
    <r>
      <rPr>
        <sz val="10"/>
        <rFont val="ＭＳ Ｐゴシック"/>
        <family val="3"/>
        <charset val="128"/>
      </rPr>
      <t>時間以上経た後の別の加熱が終了した直後までとする。ただし、複数の加熱を独立に制御しているため加熱または停止が周期的に繰り返されない試験機器の測定時間は、待機状態に達してから</t>
    </r>
    <r>
      <rPr>
        <sz val="10"/>
        <rFont val="Cambria"/>
        <family val="1"/>
      </rPr>
      <t>1</t>
    </r>
    <r>
      <rPr>
        <sz val="10"/>
        <rFont val="ＭＳ Ｐゴシック"/>
        <family val="3"/>
        <charset val="128"/>
      </rPr>
      <t>時間以上経た後、</t>
    </r>
    <r>
      <rPr>
        <sz val="10"/>
        <rFont val="Cambria"/>
        <family val="1"/>
      </rPr>
      <t>2</t>
    </r>
    <r>
      <rPr>
        <sz val="10"/>
        <rFont val="ＭＳ Ｐゴシック"/>
        <family val="3"/>
        <charset val="128"/>
      </rPr>
      <t>時間以上とする。なお、待機状態に達した後の温度変化が少ない</t>
    </r>
    <r>
      <rPr>
        <sz val="10"/>
        <rFont val="Cambria"/>
        <family val="1"/>
      </rPr>
      <t xml:space="preserve">PID </t>
    </r>
    <r>
      <rPr>
        <sz val="10"/>
        <rFont val="ＭＳ Ｐゴシック"/>
        <family val="3"/>
        <charset val="128"/>
      </rPr>
      <t>制御などの温度調節機能をもつ試験機器の測定時間は、待機状態に達してから</t>
    </r>
    <r>
      <rPr>
        <sz val="10"/>
        <rFont val="Cambria"/>
        <family val="1"/>
      </rPr>
      <t>1</t>
    </r>
    <r>
      <rPr>
        <sz val="10"/>
        <rFont val="ＭＳ Ｐゴシック"/>
        <family val="3"/>
        <charset val="128"/>
      </rPr>
      <t>時間以上経た後、</t>
    </r>
    <r>
      <rPr>
        <sz val="10"/>
        <rFont val="Cambria"/>
        <family val="1"/>
      </rPr>
      <t>15</t>
    </r>
    <r>
      <rPr>
        <sz val="10"/>
        <rFont val="ＭＳ Ｐゴシック"/>
        <family val="3"/>
        <charset val="128"/>
      </rPr>
      <t>分以上とする。それを待機時ガス消費量</t>
    </r>
    <r>
      <rPr>
        <i/>
        <sz val="10"/>
        <rFont val="Cambria"/>
        <family val="1"/>
      </rPr>
      <t>P</t>
    </r>
    <r>
      <rPr>
        <vertAlign val="subscript"/>
        <sz val="10"/>
        <rFont val="Cambria"/>
        <family val="1"/>
      </rPr>
      <t>iG</t>
    </r>
    <r>
      <rPr>
        <sz val="10"/>
        <rFont val="Cambria"/>
        <family val="1"/>
      </rPr>
      <t xml:space="preserve"> [kWh]</t>
    </r>
    <r>
      <rPr>
        <sz val="10"/>
        <rFont val="ＭＳ Ｐゴシック"/>
        <family val="3"/>
        <charset val="128"/>
      </rPr>
      <t>および待機時消費電力量</t>
    </r>
    <r>
      <rPr>
        <i/>
        <sz val="10"/>
        <rFont val="Cambria"/>
        <family val="1"/>
      </rPr>
      <t>P</t>
    </r>
    <r>
      <rPr>
        <vertAlign val="subscript"/>
        <sz val="10"/>
        <rFont val="Cambria"/>
        <family val="1"/>
      </rPr>
      <t>iE</t>
    </r>
    <r>
      <rPr>
        <sz val="10"/>
        <rFont val="Cambria"/>
        <family val="1"/>
      </rPr>
      <t xml:space="preserve"> [kWh]</t>
    </r>
    <r>
      <rPr>
        <sz val="10"/>
        <rFont val="ＭＳ Ｐゴシック"/>
        <family val="3"/>
        <charset val="128"/>
      </rPr>
      <t>とし、その測定時間を待機時のエネルギー消費量の測定時間</t>
    </r>
    <r>
      <rPr>
        <i/>
        <sz val="10"/>
        <rFont val="Cambria"/>
        <family val="1"/>
      </rPr>
      <t>T</t>
    </r>
    <r>
      <rPr>
        <vertAlign val="subscript"/>
        <sz val="10"/>
        <rFont val="Cambria"/>
        <family val="1"/>
      </rPr>
      <t>i</t>
    </r>
    <r>
      <rPr>
        <sz val="10"/>
        <rFont val="Cambria"/>
        <family val="1"/>
      </rPr>
      <t xml:space="preserve"> [min]</t>
    </r>
    <r>
      <rPr>
        <sz val="10"/>
        <rFont val="ＭＳ Ｐゴシック"/>
        <family val="3"/>
        <charset val="128"/>
      </rPr>
      <t>として、次式により待機時エネルギー消費量</t>
    </r>
    <r>
      <rPr>
        <i/>
        <sz val="10"/>
        <rFont val="Cambria"/>
        <family val="1"/>
      </rPr>
      <t>Q</t>
    </r>
    <r>
      <rPr>
        <vertAlign val="subscript"/>
        <sz val="10"/>
        <rFont val="Cambria"/>
        <family val="1"/>
      </rPr>
      <t>i</t>
    </r>
    <r>
      <rPr>
        <sz val="10"/>
        <rFont val="Cambria"/>
        <family val="1"/>
      </rPr>
      <t xml:space="preserve"> [kWh/h]</t>
    </r>
    <r>
      <rPr>
        <sz val="10"/>
        <rFont val="ＭＳ Ｐゴシック"/>
        <family val="3"/>
        <charset val="128"/>
      </rPr>
      <t>を求める。</t>
    </r>
    <rPh sb="397" eb="398">
      <t>ジ</t>
    </rPh>
    <phoneticPr fontId="3"/>
  </si>
  <si>
    <r>
      <rPr>
        <sz val="10"/>
        <rFont val="ＭＳ Ｐゴシック"/>
        <family val="3"/>
        <charset val="128"/>
      </rPr>
      <t>※処理時間、待機時間および立上り回数の標準値は、学校給食のように</t>
    </r>
    <r>
      <rPr>
        <sz val="10"/>
        <rFont val="Cambria"/>
        <family val="1"/>
      </rPr>
      <t>1</t>
    </r>
    <r>
      <rPr>
        <sz val="10"/>
        <rFont val="ＭＳ Ｐゴシック"/>
        <family val="3"/>
        <charset val="128"/>
      </rPr>
      <t>日</t>
    </r>
    <r>
      <rPr>
        <sz val="10"/>
        <rFont val="Cambria"/>
        <family val="1"/>
      </rPr>
      <t>1</t>
    </r>
    <r>
      <rPr>
        <sz val="10"/>
        <rFont val="ＭＳ Ｐゴシック"/>
        <family val="3"/>
        <charset val="128"/>
      </rPr>
      <t>回洗浄する場合を想定している。</t>
    </r>
    <r>
      <rPr>
        <sz val="10"/>
        <rFont val="Cambria"/>
        <family val="1"/>
      </rPr>
      <t>1</t>
    </r>
    <r>
      <rPr>
        <sz val="10"/>
        <rFont val="ＭＳ Ｐゴシック"/>
        <family val="3"/>
        <charset val="128"/>
      </rPr>
      <t>日</t>
    </r>
    <r>
      <rPr>
        <sz val="10"/>
        <rFont val="Cambria"/>
        <family val="1"/>
      </rPr>
      <t>3</t>
    </r>
    <r>
      <rPr>
        <sz val="10"/>
        <rFont val="ＭＳ Ｐゴシック"/>
        <family val="3"/>
        <charset val="128"/>
      </rPr>
      <t>回洗浄する施設の食器洗浄機を選ぶ際には、</t>
    </r>
    <r>
      <rPr>
        <i/>
        <sz val="10"/>
        <rFont val="Cambria"/>
        <family val="1"/>
      </rPr>
      <t>h</t>
    </r>
    <r>
      <rPr>
        <vertAlign val="subscript"/>
        <sz val="10"/>
        <rFont val="Cambria"/>
        <family val="1"/>
      </rPr>
      <t>c</t>
    </r>
    <r>
      <rPr>
        <sz val="10"/>
        <rFont val="Cambria"/>
        <family val="1"/>
      </rPr>
      <t xml:space="preserve"> </t>
    </r>
    <r>
      <rPr>
        <sz val="10"/>
        <rFont val="ＭＳ Ｐゴシック"/>
        <family val="3"/>
        <charset val="128"/>
      </rPr>
      <t>を</t>
    </r>
    <r>
      <rPr>
        <sz val="10"/>
        <rFont val="Cambria"/>
        <family val="1"/>
      </rPr>
      <t>3h/</t>
    </r>
    <r>
      <rPr>
        <sz val="10"/>
        <rFont val="ＭＳ Ｐゴシック"/>
        <family val="3"/>
        <charset val="128"/>
      </rPr>
      <t>日、</t>
    </r>
    <r>
      <rPr>
        <i/>
        <sz val="10"/>
        <rFont val="Cambria"/>
        <family val="1"/>
      </rPr>
      <t>h</t>
    </r>
    <r>
      <rPr>
        <vertAlign val="subscript"/>
        <sz val="10"/>
        <rFont val="Cambria"/>
        <family val="1"/>
      </rPr>
      <t>i</t>
    </r>
    <r>
      <rPr>
        <sz val="10"/>
        <rFont val="Cambria"/>
        <family val="1"/>
      </rPr>
      <t xml:space="preserve"> </t>
    </r>
    <r>
      <rPr>
        <sz val="10"/>
        <rFont val="ＭＳ Ｐゴシック"/>
        <family val="3"/>
        <charset val="128"/>
      </rPr>
      <t>を</t>
    </r>
    <r>
      <rPr>
        <sz val="10"/>
        <rFont val="Cambria"/>
        <family val="1"/>
      </rPr>
      <t>1.5h/</t>
    </r>
    <r>
      <rPr>
        <sz val="10"/>
        <rFont val="ＭＳ Ｐゴシック"/>
        <family val="3"/>
        <charset val="128"/>
      </rPr>
      <t>日、および、</t>
    </r>
    <r>
      <rPr>
        <i/>
        <sz val="10"/>
        <rFont val="Cambria"/>
        <family val="1"/>
      </rPr>
      <t>n</t>
    </r>
    <r>
      <rPr>
        <vertAlign val="subscript"/>
        <sz val="10"/>
        <rFont val="Cambria"/>
        <family val="1"/>
      </rPr>
      <t>s</t>
    </r>
    <r>
      <rPr>
        <sz val="10"/>
        <rFont val="Cambria"/>
        <family val="1"/>
      </rPr>
      <t xml:space="preserve"> </t>
    </r>
    <r>
      <rPr>
        <sz val="10"/>
        <rFont val="ＭＳ Ｐゴシック"/>
        <family val="3"/>
        <charset val="128"/>
      </rPr>
      <t>を</t>
    </r>
    <r>
      <rPr>
        <sz val="10"/>
        <rFont val="Cambria"/>
        <family val="1"/>
      </rPr>
      <t>3</t>
    </r>
    <r>
      <rPr>
        <sz val="10"/>
        <rFont val="ＭＳ Ｐゴシック"/>
        <family val="3"/>
        <charset val="128"/>
      </rPr>
      <t>回</t>
    </r>
    <r>
      <rPr>
        <sz val="10"/>
        <rFont val="Cambria"/>
        <family val="1"/>
      </rPr>
      <t>/</t>
    </r>
    <r>
      <rPr>
        <sz val="10"/>
        <rFont val="ＭＳ Ｐゴシック"/>
        <family val="3"/>
        <charset val="128"/>
      </rPr>
      <t>日などとして、再計算されたい。</t>
    </r>
    <phoneticPr fontId="3"/>
  </si>
  <si>
    <t>①立上がり時</t>
    <rPh sb="1" eb="3">
      <t>タチア</t>
    </rPh>
    <rPh sb="5" eb="6">
      <t>ジ</t>
    </rPh>
    <phoneticPr fontId="3"/>
  </si>
  <si>
    <t>⑤日あたりエネルギー消費量を試算する方法</t>
    <rPh sb="10" eb="13">
      <t>ショウヒリョウ</t>
    </rPh>
    <rPh sb="14" eb="16">
      <t>シサン</t>
    </rPh>
    <rPh sb="18" eb="20">
      <t>ホウホウ</t>
    </rPh>
    <phoneticPr fontId="3"/>
  </si>
  <si>
    <r>
      <t>T</t>
    </r>
    <r>
      <rPr>
        <vertAlign val="subscript"/>
        <sz val="11"/>
        <rFont val="Cambria"/>
        <family val="1"/>
      </rPr>
      <t>s</t>
    </r>
    <r>
      <rPr>
        <i/>
        <sz val="11"/>
        <rFont val="Cambria"/>
        <family val="1"/>
      </rPr>
      <t xml:space="preserve"> </t>
    </r>
    <r>
      <rPr>
        <sz val="11"/>
        <rFont val="Cambria"/>
        <family val="1"/>
      </rPr>
      <t xml:space="preserve">= </t>
    </r>
    <phoneticPr fontId="3"/>
  </si>
  <si>
    <r>
      <rPr>
        <i/>
        <sz val="11"/>
        <rFont val="Cambria"/>
        <family val="1"/>
      </rPr>
      <t>T</t>
    </r>
    <r>
      <rPr>
        <vertAlign val="subscript"/>
        <sz val="11"/>
        <rFont val="Cambria"/>
        <family val="1"/>
      </rPr>
      <t>S</t>
    </r>
    <r>
      <rPr>
        <vertAlign val="subscript"/>
        <sz val="11"/>
        <rFont val="ＭＳ Ｐゴシック"/>
        <family val="3"/>
        <charset val="128"/>
      </rPr>
      <t xml:space="preserve"> </t>
    </r>
    <r>
      <rPr>
        <sz val="11"/>
        <rFont val="ＭＳ Ｐゴシック"/>
        <family val="3"/>
        <charset val="128"/>
      </rPr>
      <t>平均値</t>
    </r>
    <r>
      <rPr>
        <i/>
        <vertAlign val="subscript"/>
        <sz val="11"/>
        <rFont val="ＭＳ Ｐゴシック"/>
        <family val="3"/>
        <charset val="128"/>
      </rPr>
      <t xml:space="preserve"> </t>
    </r>
    <r>
      <rPr>
        <sz val="11"/>
        <rFont val="ＭＳ Ｐゴシック"/>
        <family val="3"/>
        <charset val="128"/>
      </rPr>
      <t xml:space="preserve">= </t>
    </r>
    <rPh sb="3" eb="6">
      <t>ヘイキンチ</t>
    </rPh>
    <phoneticPr fontId="3"/>
  </si>
  <si>
    <t>(kJ/kg℃)</t>
    <phoneticPr fontId="3"/>
  </si>
  <si>
    <r>
      <rPr>
        <i/>
        <sz val="10"/>
        <rFont val="Cambria"/>
        <family val="1"/>
      </rPr>
      <t>C</t>
    </r>
    <r>
      <rPr>
        <i/>
        <sz val="10"/>
        <rFont val="Centaur"/>
        <family val="1"/>
      </rPr>
      <t xml:space="preserve"> </t>
    </r>
    <r>
      <rPr>
        <sz val="10"/>
        <rFont val="ＭＳ Ｐゴシック"/>
        <family val="3"/>
        <charset val="128"/>
      </rPr>
      <t>：</t>
    </r>
    <r>
      <rPr>
        <sz val="10"/>
        <rFont val="Centaur"/>
        <family val="1"/>
      </rPr>
      <t xml:space="preserve"> </t>
    </r>
    <r>
      <rPr>
        <sz val="10"/>
        <rFont val="ＭＳ Ｐゴシック"/>
        <family val="3"/>
        <charset val="128"/>
      </rPr>
      <t>水の比熱</t>
    </r>
    <r>
      <rPr>
        <sz val="10"/>
        <rFont val="ＭＳ Ｐゴシック"/>
        <family val="3"/>
        <charset val="128"/>
        <scheme val="minor"/>
      </rPr>
      <t xml:space="preserve"> 4.19kJ/kg℃</t>
    </r>
    <phoneticPr fontId="3"/>
  </si>
  <si>
    <r>
      <t xml:space="preserve">C </t>
    </r>
    <r>
      <rPr>
        <sz val="10"/>
        <rFont val="Cambria"/>
        <family val="1"/>
      </rPr>
      <t xml:space="preserve"> =</t>
    </r>
    <phoneticPr fontId="3"/>
  </si>
  <si>
    <t>　　[給湯接続]</t>
    <rPh sb="3" eb="5">
      <t>キュウトウ</t>
    </rPh>
    <rPh sb="5" eb="7">
      <t>セツゾク</t>
    </rPh>
    <phoneticPr fontId="3"/>
  </si>
  <si>
    <t>選択して下さい</t>
  </si>
  <si>
    <t>選択してください</t>
  </si>
  <si>
    <t>（選択して下さい）</t>
  </si>
  <si>
    <t>（選択）</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</si>
</sst>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0_ "/>
    <numFmt numFmtId="177" formatCode="0.000_);[Red]\(0.000\)"/>
    <numFmt numFmtId="178" formatCode="0.000_ "/>
    <numFmt numFmtId="179" formatCode="0.0_ "/>
    <numFmt numFmtId="180" formatCode="0_ "/>
    <numFmt numFmtId="181" formatCode="0_);[Red]\(0\)"/>
    <numFmt numFmtId="182" formatCode="#,##0.000_ "/>
    <numFmt numFmtId="183" formatCode="0.0_);[Red]\(0.0\)"/>
    <numFmt numFmtId="184" formatCode="0.00_);[Red]\(0.00\)"/>
    <numFmt numFmtId="185" formatCode="yyyy&quot;年&quot;m&quot;月&quot;d&quot;日&quot;;@"/>
    <numFmt numFmtId="186" formatCode="#,##0.00_ "/>
    <numFmt numFmtId="187" formatCode="#,##0_ "/>
    <numFmt numFmtId="188" formatCode="0.0%"/>
    <numFmt numFmtId="189" formatCode="0.000"/>
    <numFmt numFmtId="190" formatCode="\+#.0;\-#.0;0"/>
    <numFmt numFmtId="191" formatCode="\+#&quot;％&quot;;\-#&quot;％&quot;;0"/>
    <numFmt numFmtId="192" formatCode="\+#&quot;%､&quot;;\-#&quot;%&quot;;0"/>
    <numFmt numFmtId="193" formatCode="&quot;＝&quot;\+#&quot;％、&quot;;\-#&quot;％、&quot;;0"/>
    <numFmt numFmtId="194" formatCode="#&quot;Hz時&quot;"/>
    <numFmt numFmtId="195" formatCode="\+#0.0;\-#0.0;0"/>
    <numFmt numFmtId="196" formatCode="yyyy/m/d;@"/>
  </numFmts>
  <fonts count="87">
    <font>
      <sz val="11"/>
      <name val="ＭＳ Ｐゴシック"/>
      <family val="3"/>
      <charset val="128"/>
    </font>
    <font>
      <sz val="10"/>
      <color indexed="8"/>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10"/>
      <color indexed="8"/>
      <name val="ＭＳ Ｐゴシック"/>
      <family val="3"/>
      <charset val="128"/>
    </font>
    <font>
      <sz val="8"/>
      <name val="ＭＳ Ｐゴシック"/>
      <family val="3"/>
      <charset val="128"/>
    </font>
    <font>
      <sz val="9"/>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i/>
      <sz val="10"/>
      <name val="ＭＳ Ｐゴシック"/>
      <family val="3"/>
      <charset val="128"/>
    </font>
    <font>
      <i/>
      <vertAlign val="subscript"/>
      <sz val="10"/>
      <name val="ＭＳ Ｐゴシック"/>
      <family val="3"/>
      <charset val="128"/>
    </font>
    <font>
      <i/>
      <sz val="10"/>
      <name val="Century"/>
      <family val="1"/>
    </font>
    <font>
      <sz val="10"/>
      <name val="Century"/>
      <family val="1"/>
    </font>
    <font>
      <vertAlign val="subscript"/>
      <sz val="10"/>
      <name val="Century"/>
      <family val="1"/>
    </font>
    <font>
      <sz val="10"/>
      <color indexed="8"/>
      <name val="Century"/>
      <family val="1"/>
    </font>
    <font>
      <i/>
      <sz val="10"/>
      <name val="Centaur"/>
      <family val="1"/>
    </font>
    <font>
      <sz val="10"/>
      <name val="Centaur"/>
      <family val="1"/>
    </font>
    <font>
      <i/>
      <sz val="12"/>
      <name val="Century"/>
      <family val="1"/>
    </font>
    <font>
      <vertAlign val="subscript"/>
      <sz val="10"/>
      <name val="ＭＳ Ｐゴシック"/>
      <family val="3"/>
      <charset val="128"/>
    </font>
    <font>
      <sz val="7"/>
      <name val="ＭＳ Ｐゴシック"/>
      <family val="3"/>
      <charset val="128"/>
    </font>
    <font>
      <b/>
      <sz val="9"/>
      <name val="ＭＳ Ｐゴシック"/>
      <family val="3"/>
      <charset val="128"/>
    </font>
    <font>
      <sz val="7.5"/>
      <name val="ＭＳ Ｐゴシック"/>
      <family val="3"/>
      <charset val="128"/>
    </font>
    <font>
      <sz val="10"/>
      <color rgb="FFFF0000"/>
      <name val="ＭＳ Ｐゴシック"/>
      <family val="3"/>
      <charset val="128"/>
    </font>
    <font>
      <sz val="10"/>
      <name val="ＭＳ Ｐゴシック"/>
      <family val="3"/>
      <charset val="128"/>
      <scheme val="minor"/>
    </font>
    <font>
      <sz val="10"/>
      <color theme="0"/>
      <name val="ＭＳ Ｐゴシック"/>
      <family val="3"/>
      <charset val="128"/>
    </font>
    <font>
      <sz val="10"/>
      <name val="ＭＳ Ｐゴシック"/>
      <family val="3"/>
      <charset val="128"/>
      <scheme val="major"/>
    </font>
    <font>
      <i/>
      <vertAlign val="subscript"/>
      <sz val="10"/>
      <name val="Century"/>
      <family val="1"/>
    </font>
    <font>
      <sz val="9"/>
      <name val="ＭＳ Ｐゴシック"/>
      <family val="3"/>
      <charset val="128"/>
      <scheme val="major"/>
    </font>
    <font>
      <vertAlign val="superscript"/>
      <sz val="9"/>
      <name val="ＭＳ Ｐゴシック"/>
      <family val="3"/>
      <charset val="128"/>
    </font>
    <font>
      <vertAlign val="superscript"/>
      <sz val="10"/>
      <name val="ＭＳ Ｐゴシック"/>
      <family val="3"/>
      <charset val="128"/>
    </font>
    <font>
      <sz val="8"/>
      <color rgb="FFFF0000"/>
      <name val="ＭＳ Ｐゴシック"/>
      <family val="3"/>
      <charset val="128"/>
    </font>
    <font>
      <sz val="10.5"/>
      <name val="ＭＳ 明朝"/>
      <family val="1"/>
      <charset val="128"/>
    </font>
    <font>
      <sz val="11"/>
      <color theme="2" tint="-0.499984740745262"/>
      <name val="ＭＳ Ｐゴシック"/>
      <family val="3"/>
      <charset val="128"/>
    </font>
    <font>
      <sz val="10"/>
      <color theme="1"/>
      <name val="ＭＳ Ｐゴシック"/>
      <family val="3"/>
      <charset val="128"/>
    </font>
    <font>
      <vertAlign val="subscript"/>
      <sz val="14"/>
      <name val="ＭＳ Ｐ明朝"/>
      <family val="1"/>
      <charset val="128"/>
    </font>
    <font>
      <i/>
      <sz val="10"/>
      <name val="ＭＳ Ｐ明朝"/>
      <family val="1"/>
      <charset val="128"/>
    </font>
    <font>
      <sz val="12"/>
      <name val="Century"/>
      <family val="1"/>
    </font>
    <font>
      <sz val="10"/>
      <name val="ＭＳ 明朝"/>
      <family val="1"/>
      <charset val="128"/>
    </font>
    <font>
      <b/>
      <sz val="10"/>
      <name val="ＭＳ Ｐゴシック"/>
      <family val="3"/>
      <charset val="128"/>
      <scheme val="major"/>
    </font>
    <font>
      <b/>
      <sz val="11"/>
      <name val="ＭＳ Ｐゴシック"/>
      <family val="3"/>
      <charset val="128"/>
      <scheme val="major"/>
    </font>
    <font>
      <b/>
      <sz val="18"/>
      <color theme="0"/>
      <name val="ＭＳ Ｐゴシック"/>
      <family val="3"/>
      <charset val="128"/>
    </font>
    <font>
      <sz val="10"/>
      <color theme="0"/>
      <name val="ＭＳ Ｐゴシック"/>
      <family val="3"/>
      <charset val="128"/>
      <scheme val="major"/>
    </font>
    <font>
      <b/>
      <i/>
      <sz val="11"/>
      <name val="Cambria"/>
      <family val="1"/>
    </font>
    <font>
      <b/>
      <i/>
      <vertAlign val="subscript"/>
      <sz val="11"/>
      <name val="Cambria"/>
      <family val="1"/>
    </font>
    <font>
      <b/>
      <sz val="11"/>
      <name val="Cambria"/>
      <family val="1"/>
    </font>
    <font>
      <b/>
      <vertAlign val="subscript"/>
      <sz val="11"/>
      <name val="Cambria"/>
      <family val="1"/>
    </font>
    <font>
      <i/>
      <sz val="10"/>
      <name val="Cambria"/>
      <family val="1"/>
    </font>
    <font>
      <i/>
      <vertAlign val="subscript"/>
      <sz val="10"/>
      <name val="Cambria"/>
      <family val="1"/>
    </font>
    <font>
      <sz val="10"/>
      <name val="Cambria"/>
      <family val="1"/>
    </font>
    <font>
      <vertAlign val="subscript"/>
      <sz val="10"/>
      <name val="Cambria"/>
      <family val="1"/>
    </font>
    <font>
      <i/>
      <sz val="14"/>
      <name val="Cambria"/>
      <family val="1"/>
    </font>
    <font>
      <i/>
      <vertAlign val="subscript"/>
      <sz val="14"/>
      <name val="Cambria"/>
      <family val="1"/>
    </font>
    <font>
      <i/>
      <sz val="10.5"/>
      <name val="Cambria"/>
      <family val="1"/>
    </font>
    <font>
      <sz val="10.5"/>
      <name val="Cambria"/>
      <family val="1"/>
    </font>
    <font>
      <i/>
      <sz val="10"/>
      <color indexed="8"/>
      <name val="Cambria"/>
      <family val="1"/>
    </font>
    <font>
      <sz val="10"/>
      <color indexed="8"/>
      <name val="Cambria"/>
      <family val="1"/>
    </font>
    <font>
      <i/>
      <sz val="11"/>
      <name val="Cambria"/>
      <family val="1"/>
    </font>
    <font>
      <vertAlign val="subscript"/>
      <sz val="14"/>
      <name val="Cambria"/>
      <family val="1"/>
    </font>
    <font>
      <sz val="11"/>
      <name val="Cambria"/>
      <family val="1"/>
    </font>
    <font>
      <vertAlign val="subscript"/>
      <sz val="11"/>
      <name val="Cambria"/>
      <family val="1"/>
    </font>
    <font>
      <i/>
      <sz val="12"/>
      <name val="Cambria"/>
      <family val="1"/>
    </font>
    <font>
      <sz val="12"/>
      <name val="Cambria"/>
      <family val="1"/>
    </font>
    <font>
      <b/>
      <sz val="10"/>
      <name val="Cambria"/>
      <family val="1"/>
    </font>
    <font>
      <b/>
      <i/>
      <sz val="10"/>
      <name val="Cambria"/>
      <family val="1"/>
    </font>
    <font>
      <b/>
      <sz val="11"/>
      <name val="Century"/>
      <family val="1"/>
    </font>
    <font>
      <b/>
      <vertAlign val="subscript"/>
      <sz val="10"/>
      <name val="Cambria"/>
      <family val="1"/>
    </font>
    <font>
      <vertAlign val="subscript"/>
      <sz val="12"/>
      <name val="Cambria"/>
      <family val="1"/>
    </font>
    <font>
      <vertAlign val="subscript"/>
      <sz val="10"/>
      <color indexed="8"/>
      <name val="Cambria"/>
      <family val="1"/>
    </font>
    <font>
      <sz val="10.5"/>
      <name val="ＭＳ Ｐゴシック"/>
      <family val="3"/>
      <charset val="128"/>
    </font>
    <font>
      <i/>
      <sz val="10.5"/>
      <name val="ＭＳ Ｐゴシック"/>
      <family val="3"/>
      <charset val="128"/>
    </font>
    <font>
      <vertAlign val="subscript"/>
      <sz val="10.5"/>
      <name val="ＭＳ Ｐゴシック"/>
      <family val="3"/>
      <charset val="128"/>
    </font>
    <font>
      <vertAlign val="subscript"/>
      <sz val="10.5"/>
      <name val="Cambria"/>
      <family val="1"/>
    </font>
    <font>
      <b/>
      <i/>
      <sz val="12"/>
      <name val="Cambria"/>
      <family val="1"/>
    </font>
    <font>
      <b/>
      <i/>
      <vertAlign val="subscript"/>
      <sz val="12"/>
      <name val="Cambria"/>
      <family val="1"/>
    </font>
    <font>
      <b/>
      <vertAlign val="subscript"/>
      <sz val="12"/>
      <name val="Cambria"/>
      <family val="1"/>
    </font>
    <font>
      <b/>
      <sz val="10"/>
      <color theme="0"/>
      <name val="ＭＳ Ｐゴシック"/>
      <family val="3"/>
      <charset val="128"/>
    </font>
    <font>
      <sz val="14"/>
      <name val="Cambria"/>
      <family val="1"/>
    </font>
    <font>
      <i/>
      <sz val="11"/>
      <name val="Century"/>
      <family val="1"/>
    </font>
    <font>
      <vertAlign val="subscript"/>
      <sz val="11"/>
      <name val="ＭＳ Ｐゴシック"/>
      <family val="3"/>
      <charset val="128"/>
    </font>
    <font>
      <i/>
      <vertAlign val="subscript"/>
      <sz val="1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theme="3" tint="-0.249977111117893"/>
        <bgColor indexed="64"/>
      </patternFill>
    </fill>
    <fill>
      <patternFill patternType="solid">
        <fgColor theme="0" tint="-0.14999847407452621"/>
        <bgColor indexed="64"/>
      </patternFill>
    </fill>
  </fills>
  <borders count="9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ck">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868">
    <xf numFmtId="0" fontId="0" fillId="0" borderId="0" xfId="0">
      <alignment vertical="center"/>
    </xf>
    <xf numFmtId="0" fontId="0" fillId="0" borderId="0" xfId="0" applyProtection="1">
      <alignment vertical="center"/>
    </xf>
    <xf numFmtId="0" fontId="5" fillId="0" borderId="0" xfId="0" applyFont="1" applyProtection="1">
      <alignmen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7" xfId="0" applyFont="1" applyBorder="1" applyProtection="1">
      <alignment vertical="center"/>
    </xf>
    <xf numFmtId="0" fontId="5" fillId="0" borderId="0" xfId="0" applyFont="1" applyBorder="1" applyProtection="1">
      <alignment vertical="center"/>
    </xf>
    <xf numFmtId="0" fontId="18" fillId="0" borderId="0" xfId="0" applyFont="1" applyBorder="1" applyAlignment="1" applyProtection="1">
      <alignment horizontal="right" vertical="center"/>
    </xf>
    <xf numFmtId="0" fontId="0" fillId="0" borderId="0" xfId="0" applyBorder="1" applyAlignment="1" applyProtection="1">
      <alignment vertical="center" shrinkToFit="1"/>
    </xf>
    <xf numFmtId="188" fontId="5" fillId="0" borderId="0" xfId="0" applyNumberFormat="1" applyFont="1" applyProtection="1">
      <alignment vertical="center"/>
    </xf>
    <xf numFmtId="0" fontId="12" fillId="0" borderId="0" xfId="0" applyFont="1" applyBorder="1" applyAlignment="1" applyProtection="1">
      <alignment vertical="center"/>
    </xf>
    <xf numFmtId="0" fontId="12" fillId="0" borderId="1" xfId="0" applyFont="1" applyBorder="1" applyAlignment="1" applyProtection="1">
      <alignment vertical="center" shrinkToFit="1"/>
    </xf>
    <xf numFmtId="0" fontId="12" fillId="0" borderId="0" xfId="0" applyFont="1" applyBorder="1" applyProtection="1">
      <alignment vertical="center"/>
    </xf>
    <xf numFmtId="0" fontId="12" fillId="0" borderId="0" xfId="0" applyFont="1" applyBorder="1" applyAlignment="1" applyProtection="1">
      <alignment vertical="center" wrapText="1"/>
    </xf>
    <xf numFmtId="0" fontId="0" fillId="0" borderId="0" xfId="0" applyBorder="1" applyProtection="1">
      <alignment vertical="center"/>
    </xf>
    <xf numFmtId="0" fontId="14" fillId="0" borderId="0" xfId="0" applyFont="1" applyBorder="1" applyAlignment="1" applyProtection="1">
      <alignment horizontal="center" vertical="center"/>
    </xf>
    <xf numFmtId="183" fontId="5" fillId="0" borderId="10" xfId="0" applyNumberFormat="1" applyFont="1" applyFill="1" applyBorder="1" applyAlignment="1" applyProtection="1">
      <alignment horizontal="right" vertical="center"/>
    </xf>
    <xf numFmtId="0" fontId="5" fillId="0" borderId="0" xfId="0" applyFont="1" applyFill="1" applyProtection="1">
      <alignment vertical="center"/>
    </xf>
    <xf numFmtId="0" fontId="5" fillId="0" borderId="0" xfId="0" applyFont="1" applyFill="1" applyBorder="1" applyProtection="1">
      <alignment vertical="center"/>
    </xf>
    <xf numFmtId="0" fontId="18" fillId="0" borderId="0" xfId="0" applyFont="1" applyFill="1" applyBorder="1" applyAlignment="1" applyProtection="1">
      <alignment horizontal="right" vertical="center"/>
    </xf>
    <xf numFmtId="181"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184" fontId="5" fillId="0" borderId="0" xfId="0" applyNumberFormat="1" applyFont="1" applyFill="1" applyBorder="1" applyAlignment="1" applyProtection="1">
      <alignment vertical="center"/>
    </xf>
    <xf numFmtId="0" fontId="5" fillId="0" borderId="1" xfId="0" applyFont="1" applyBorder="1" applyAlignment="1" applyProtection="1">
      <alignment vertical="center" shrinkToFit="1"/>
    </xf>
    <xf numFmtId="0" fontId="5" fillId="0" borderId="21" xfId="0" applyFont="1" applyBorder="1" applyAlignment="1" applyProtection="1">
      <alignment horizontal="center" vertical="center"/>
    </xf>
    <xf numFmtId="0" fontId="11" fillId="0" borderId="10" xfId="0" applyFont="1" applyBorder="1" applyAlignment="1" applyProtection="1">
      <alignment horizontal="center" vertical="center" wrapText="1"/>
    </xf>
    <xf numFmtId="0" fontId="12" fillId="4" borderId="13" xfId="0" applyFont="1" applyFill="1" applyBorder="1" applyAlignment="1" applyProtection="1">
      <alignment vertical="center"/>
    </xf>
    <xf numFmtId="0" fontId="12" fillId="4" borderId="28" xfId="0" applyFont="1" applyFill="1" applyBorder="1" applyAlignment="1" applyProtection="1">
      <alignment vertical="center"/>
    </xf>
    <xf numFmtId="0" fontId="0" fillId="0" borderId="0" xfId="0" applyAlignment="1" applyProtection="1">
      <alignment vertical="center"/>
    </xf>
    <xf numFmtId="0" fontId="12" fillId="4" borderId="26" xfId="0" applyFont="1" applyFill="1" applyBorder="1" applyAlignment="1" applyProtection="1">
      <alignment vertical="center" shrinkToFit="1"/>
    </xf>
    <xf numFmtId="0" fontId="0" fillId="4" borderId="25" xfId="0" applyFill="1" applyBorder="1" applyAlignment="1" applyProtection="1">
      <alignment vertical="center"/>
    </xf>
    <xf numFmtId="0" fontId="0" fillId="4" borderId="26" xfId="0" applyFill="1" applyBorder="1" applyAlignment="1" applyProtection="1">
      <alignment vertical="center"/>
    </xf>
    <xf numFmtId="0" fontId="0" fillId="4" borderId="33" xfId="0" applyFill="1" applyBorder="1" applyAlignment="1" applyProtection="1">
      <alignment vertical="center" wrapText="1"/>
      <protection locked="0"/>
    </xf>
    <xf numFmtId="0" fontId="0" fillId="3" borderId="15" xfId="0"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0" fillId="4" borderId="34" xfId="0" applyFill="1" applyBorder="1" applyAlignment="1" applyProtection="1">
      <alignment horizontal="center" vertical="center" wrapText="1"/>
      <protection locked="0"/>
    </xf>
    <xf numFmtId="0" fontId="0" fillId="3" borderId="0"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37"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0" borderId="0" xfId="0" applyBorder="1" applyAlignment="1" applyProtection="1">
      <alignment horizontal="center" vertical="center"/>
    </xf>
    <xf numFmtId="0" fontId="8" fillId="0" borderId="0" xfId="0" applyFont="1" applyBorder="1" applyProtection="1">
      <alignment vertical="center"/>
    </xf>
    <xf numFmtId="0" fontId="0" fillId="0" borderId="0" xfId="0" applyAlignment="1" applyProtection="1">
      <alignment vertical="center" wrapText="1"/>
    </xf>
    <xf numFmtId="0" fontId="12" fillId="4" borderId="29" xfId="0" applyFont="1" applyFill="1" applyBorder="1" applyAlignment="1" applyProtection="1">
      <alignment horizontal="right" vertical="center"/>
    </xf>
    <xf numFmtId="177" fontId="5" fillId="0" borderId="10" xfId="0" applyNumberFormat="1" applyFont="1" applyBorder="1" applyAlignment="1" applyProtection="1">
      <alignment horizontal="right" vertical="justify"/>
    </xf>
    <xf numFmtId="0" fontId="5" fillId="0" borderId="40" xfId="0" applyFont="1" applyBorder="1" applyAlignment="1" applyProtection="1">
      <alignment horizontal="center" vertical="center" shrinkToFit="1"/>
    </xf>
    <xf numFmtId="192" fontId="11" fillId="4" borderId="43" xfId="0" applyNumberFormat="1" applyFont="1" applyFill="1" applyBorder="1" applyAlignment="1" applyProtection="1">
      <alignment horizontal="right" vertical="center" wrapText="1"/>
    </xf>
    <xf numFmtId="192" fontId="11" fillId="4" borderId="28" xfId="0" applyNumberFormat="1" applyFont="1" applyFill="1" applyBorder="1" applyAlignment="1" applyProtection="1">
      <alignment horizontal="left" vertical="center" wrapText="1"/>
    </xf>
    <xf numFmtId="192" fontId="26" fillId="4" borderId="13" xfId="0" applyNumberFormat="1" applyFont="1" applyFill="1" applyBorder="1" applyAlignment="1" applyProtection="1">
      <alignment horizontal="right" vertical="center" wrapText="1"/>
    </xf>
    <xf numFmtId="192" fontId="26" fillId="4" borderId="1" xfId="0" applyNumberFormat="1" applyFont="1" applyFill="1" applyBorder="1" applyAlignment="1" applyProtection="1">
      <alignment horizontal="left" vertical="center" wrapText="1"/>
    </xf>
    <xf numFmtId="180" fontId="5" fillId="5" borderId="41" xfId="0" applyNumberFormat="1" applyFont="1" applyFill="1" applyBorder="1" applyAlignment="1" applyProtection="1">
      <alignment horizontal="center" vertical="center" shrinkToFit="1"/>
      <protection locked="0"/>
    </xf>
    <xf numFmtId="0" fontId="27" fillId="2" borderId="43" xfId="0" applyFont="1" applyFill="1" applyBorder="1" applyAlignment="1" applyProtection="1">
      <alignment horizontal="center" vertical="center" shrinkToFit="1"/>
      <protection locked="0"/>
    </xf>
    <xf numFmtId="180" fontId="0" fillId="0" borderId="10" xfId="0" applyNumberFormat="1" applyBorder="1" applyProtection="1">
      <alignment vertical="center"/>
    </xf>
    <xf numFmtId="0" fontId="0" fillId="0" borderId="39" xfId="0" applyBorder="1" applyProtection="1">
      <alignment vertical="center"/>
    </xf>
    <xf numFmtId="0" fontId="0" fillId="0" borderId="74" xfId="0" applyBorder="1" applyAlignment="1" applyProtection="1">
      <alignment horizontal="center" vertical="center"/>
    </xf>
    <xf numFmtId="0" fontId="0" fillId="0" borderId="75" xfId="0" applyBorder="1" applyAlignment="1" applyProtection="1">
      <alignment horizontal="center" vertical="center"/>
    </xf>
    <xf numFmtId="0" fontId="0" fillId="0" borderId="5" xfId="0" applyBorder="1" applyProtection="1">
      <alignment vertical="center"/>
    </xf>
    <xf numFmtId="0" fontId="0" fillId="0" borderId="20" xfId="0" applyBorder="1" applyProtection="1">
      <alignment vertical="center"/>
    </xf>
    <xf numFmtId="0" fontId="0" fillId="0" borderId="42" xfId="0" applyBorder="1" applyProtection="1">
      <alignment vertical="center"/>
    </xf>
    <xf numFmtId="0" fontId="0" fillId="0" borderId="12" xfId="0" applyBorder="1" applyAlignment="1" applyProtection="1">
      <alignment vertical="center" shrinkToFit="1"/>
    </xf>
    <xf numFmtId="180" fontId="0" fillId="0" borderId="74" xfId="0" applyNumberFormat="1" applyBorder="1" applyProtection="1">
      <alignment vertical="center"/>
    </xf>
    <xf numFmtId="180" fontId="0" fillId="0" borderId="75" xfId="0" applyNumberFormat="1" applyBorder="1" applyAlignment="1" applyProtection="1">
      <alignment vertical="center" wrapText="1"/>
    </xf>
    <xf numFmtId="0" fontId="0" fillId="0" borderId="76" xfId="0" applyBorder="1" applyAlignment="1" applyProtection="1">
      <alignment vertical="center" shrinkToFit="1"/>
    </xf>
    <xf numFmtId="180" fontId="0" fillId="0" borderId="32" xfId="0" applyNumberFormat="1" applyBorder="1" applyAlignment="1" applyProtection="1">
      <alignment vertical="center" wrapText="1"/>
    </xf>
    <xf numFmtId="0" fontId="0" fillId="0" borderId="5" xfId="0" applyBorder="1" applyAlignment="1" applyProtection="1">
      <alignment vertical="center" shrinkToFit="1"/>
    </xf>
    <xf numFmtId="180" fontId="0" fillId="0" borderId="20" xfId="0" applyNumberFormat="1" applyBorder="1" applyProtection="1">
      <alignment vertical="center"/>
    </xf>
    <xf numFmtId="180" fontId="0" fillId="0" borderId="42" xfId="0" applyNumberFormat="1" applyBorder="1" applyAlignment="1" applyProtection="1">
      <alignment vertical="center" wrapText="1"/>
    </xf>
    <xf numFmtId="0" fontId="5" fillId="0" borderId="10" xfId="0" applyFont="1" applyBorder="1" applyProtection="1">
      <alignment vertical="center"/>
    </xf>
    <xf numFmtId="0" fontId="5" fillId="0" borderId="0" xfId="0" applyFont="1" applyAlignment="1" applyProtection="1">
      <alignment horizontal="center" vertical="center"/>
    </xf>
    <xf numFmtId="0" fontId="5" fillId="0" borderId="77" xfId="0" applyFont="1" applyBorder="1" applyProtection="1">
      <alignment vertical="center"/>
    </xf>
    <xf numFmtId="0" fontId="5" fillId="0" borderId="78" xfId="0" applyFont="1" applyBorder="1" applyProtection="1">
      <alignment vertical="center"/>
    </xf>
    <xf numFmtId="0" fontId="5" fillId="0" borderId="79" xfId="0" applyFont="1" applyBorder="1" applyProtection="1">
      <alignment vertical="center"/>
    </xf>
    <xf numFmtId="0" fontId="0" fillId="0" borderId="41" xfId="0" applyBorder="1" applyProtection="1">
      <alignment vertical="center"/>
    </xf>
    <xf numFmtId="0" fontId="5" fillId="0" borderId="81" xfId="0" applyFont="1" applyBorder="1" applyProtection="1">
      <alignment vertical="center"/>
    </xf>
    <xf numFmtId="180" fontId="0" fillId="0" borderId="49" xfId="0" applyNumberFormat="1" applyBorder="1" applyProtection="1">
      <alignment vertical="center"/>
    </xf>
    <xf numFmtId="180" fontId="0" fillId="0" borderId="25" xfId="0" applyNumberFormat="1" applyBorder="1" applyProtection="1">
      <alignment vertical="center"/>
    </xf>
    <xf numFmtId="180" fontId="0" fillId="0" borderId="52" xfId="0" applyNumberFormat="1" applyBorder="1" applyProtection="1">
      <alignment vertical="center"/>
    </xf>
    <xf numFmtId="0" fontId="0" fillId="0" borderId="76" xfId="0" applyBorder="1" applyProtection="1">
      <alignment vertical="center"/>
    </xf>
    <xf numFmtId="0" fontId="0" fillId="0" borderId="31" xfId="0" applyBorder="1" applyProtection="1">
      <alignment vertical="center"/>
    </xf>
    <xf numFmtId="0" fontId="5" fillId="0" borderId="81" xfId="0" applyFont="1" applyBorder="1" applyAlignment="1" applyProtection="1">
      <alignment horizontal="center" vertical="center"/>
    </xf>
    <xf numFmtId="0" fontId="5" fillId="0" borderId="73" xfId="0" applyFont="1" applyBorder="1" applyAlignment="1" applyProtection="1">
      <alignment horizontal="center" vertical="center"/>
    </xf>
    <xf numFmtId="180" fontId="0" fillId="0" borderId="43" xfId="0" applyNumberFormat="1" applyBorder="1" applyAlignment="1" applyProtection="1">
      <alignment vertical="center" wrapText="1"/>
    </xf>
    <xf numFmtId="180" fontId="0" fillId="0" borderId="25" xfId="0" applyNumberFormat="1" applyBorder="1" applyAlignment="1" applyProtection="1">
      <alignment vertical="center" wrapText="1"/>
    </xf>
    <xf numFmtId="180" fontId="0" fillId="0" borderId="52" xfId="0" applyNumberFormat="1" applyBorder="1" applyAlignment="1" applyProtection="1">
      <alignment vertical="center" wrapText="1"/>
    </xf>
    <xf numFmtId="0" fontId="4" fillId="0" borderId="9" xfId="0" applyFont="1" applyBorder="1" applyAlignment="1" applyProtection="1">
      <alignment horizontal="center" vertical="center"/>
    </xf>
    <xf numFmtId="178" fontId="5" fillId="0" borderId="2" xfId="0" applyNumberFormat="1" applyFont="1" applyFill="1" applyBorder="1" applyProtection="1">
      <alignment vertical="center"/>
    </xf>
    <xf numFmtId="178" fontId="7" fillId="0" borderId="0" xfId="0" applyNumberFormat="1" applyFont="1" applyBorder="1" applyProtection="1">
      <alignment vertical="center"/>
    </xf>
    <xf numFmtId="0" fontId="39" fillId="0" borderId="0" xfId="0" applyFont="1" applyBorder="1" applyAlignment="1" applyProtection="1">
      <alignment horizontal="center" vertical="center"/>
    </xf>
    <xf numFmtId="0" fontId="39" fillId="0" borderId="0" xfId="0" applyFont="1" applyBorder="1" applyProtection="1">
      <alignment vertical="center"/>
    </xf>
    <xf numFmtId="0" fontId="5" fillId="0" borderId="0" xfId="0" applyFont="1" applyFill="1" applyBorder="1" applyAlignment="1" applyProtection="1">
      <alignment horizontal="justify" vertical="center"/>
    </xf>
    <xf numFmtId="0" fontId="11" fillId="0" borderId="0" xfId="0" applyFont="1" applyAlignment="1" applyProtection="1">
      <alignment horizontal="right" vertical="center"/>
    </xf>
    <xf numFmtId="0" fontId="5" fillId="0" borderId="9" xfId="0" applyFont="1" applyBorder="1" applyProtection="1">
      <alignment vertical="center"/>
    </xf>
    <xf numFmtId="0" fontId="5" fillId="0" borderId="39" xfId="0" applyFont="1" applyBorder="1" applyProtection="1">
      <alignment vertical="center"/>
    </xf>
    <xf numFmtId="0" fontId="5" fillId="0" borderId="15" xfId="0" applyFont="1" applyBorder="1" applyAlignment="1" applyProtection="1">
      <alignment horizontal="center" vertical="center"/>
    </xf>
    <xf numFmtId="0" fontId="14" fillId="0" borderId="17" xfId="0" applyFont="1" applyBorder="1" applyAlignment="1" applyProtection="1">
      <alignment horizontal="center" vertical="center"/>
    </xf>
    <xf numFmtId="0" fontId="18" fillId="0" borderId="7" xfId="0" applyFont="1" applyBorder="1" applyAlignment="1" applyProtection="1">
      <alignment horizontal="right" vertical="center"/>
    </xf>
    <xf numFmtId="0" fontId="18" fillId="0" borderId="8" xfId="0" applyFont="1" applyBorder="1" applyAlignment="1" applyProtection="1">
      <alignment horizontal="right" vertical="center"/>
    </xf>
    <xf numFmtId="0" fontId="12" fillId="0" borderId="3" xfId="0" applyFont="1" applyBorder="1" applyAlignment="1" applyProtection="1">
      <alignment vertical="center" shrinkToFit="1"/>
    </xf>
    <xf numFmtId="177" fontId="5" fillId="0" borderId="20" xfId="0" applyNumberFormat="1" applyFont="1" applyBorder="1" applyAlignment="1" applyProtection="1">
      <alignment horizontal="right" vertical="center"/>
    </xf>
    <xf numFmtId="0" fontId="5" fillId="0" borderId="74" xfId="0" applyFont="1" applyBorder="1" applyAlignment="1" applyProtection="1">
      <alignment horizontal="center" vertical="center" shrinkToFit="1"/>
    </xf>
    <xf numFmtId="0" fontId="11" fillId="0" borderId="0" xfId="0" applyFont="1" applyProtection="1">
      <alignment vertical="center"/>
    </xf>
    <xf numFmtId="0" fontId="11" fillId="0" borderId="0" xfId="0" applyFont="1" applyAlignment="1" applyProtection="1">
      <alignment vertical="center" wrapText="1"/>
    </xf>
    <xf numFmtId="0" fontId="0" fillId="0" borderId="10" xfId="0" applyBorder="1" applyAlignment="1" applyProtection="1">
      <alignment horizontal="center" vertical="center"/>
    </xf>
    <xf numFmtId="0" fontId="5" fillId="0" borderId="25" xfId="0" applyFont="1" applyBorder="1" applyProtection="1">
      <alignment vertical="center"/>
    </xf>
    <xf numFmtId="0" fontId="5" fillId="0" borderId="10" xfId="0" applyFont="1" applyBorder="1" applyAlignment="1" applyProtection="1">
      <alignment horizontal="center" vertical="center"/>
    </xf>
    <xf numFmtId="0" fontId="5" fillId="0" borderId="46" xfId="0" applyFont="1" applyBorder="1" applyAlignment="1" applyProtection="1">
      <alignment horizontal="right" vertical="center"/>
    </xf>
    <xf numFmtId="0" fontId="5" fillId="0" borderId="46" xfId="0" applyFont="1" applyBorder="1" applyProtection="1">
      <alignment vertical="center"/>
    </xf>
    <xf numFmtId="0" fontId="0" fillId="0" borderId="46" xfId="0" applyBorder="1" applyAlignment="1" applyProtection="1">
      <alignment vertical="center"/>
    </xf>
    <xf numFmtId="0" fontId="12" fillId="0" borderId="46" xfId="0" applyFont="1" applyBorder="1" applyProtection="1">
      <alignment vertical="center"/>
    </xf>
    <xf numFmtId="0" fontId="5" fillId="0" borderId="46" xfId="0" applyFont="1" applyBorder="1" applyAlignment="1" applyProtection="1">
      <alignment vertical="center" shrinkToFit="1"/>
    </xf>
    <xf numFmtId="0" fontId="0" fillId="0" borderId="46" xfId="0" applyBorder="1" applyAlignment="1" applyProtection="1">
      <alignment vertical="center" shrinkToFit="1"/>
    </xf>
    <xf numFmtId="180" fontId="0" fillId="0" borderId="0" xfId="0" applyNumberFormat="1" applyBorder="1" applyProtection="1">
      <alignment vertical="center"/>
    </xf>
    <xf numFmtId="180" fontId="0" fillId="0" borderId="0" xfId="0" applyNumberFormat="1" applyBorder="1" applyAlignment="1" applyProtection="1">
      <alignment vertical="center" wrapText="1"/>
    </xf>
    <xf numFmtId="0" fontId="5" fillId="0" borderId="46" xfId="0" applyFont="1" applyBorder="1" applyAlignment="1" applyProtection="1">
      <alignment horizontal="center" vertical="center"/>
    </xf>
    <xf numFmtId="0" fontId="4" fillId="0" borderId="46" xfId="0" applyFont="1" applyBorder="1" applyProtection="1">
      <alignment vertical="center"/>
    </xf>
    <xf numFmtId="0" fontId="14" fillId="0" borderId="46" xfId="0" applyFont="1" applyBorder="1" applyAlignment="1" applyProtection="1">
      <alignment horizontal="center" vertical="center"/>
    </xf>
    <xf numFmtId="0" fontId="5" fillId="0" borderId="46" xfId="0" applyFont="1" applyBorder="1" applyAlignment="1" applyProtection="1">
      <alignment vertical="top" wrapText="1"/>
    </xf>
    <xf numFmtId="0" fontId="12" fillId="0" borderId="46" xfId="0" applyFont="1" applyBorder="1" applyAlignment="1" applyProtection="1">
      <alignment horizontal="center" vertical="center" shrinkToFit="1"/>
    </xf>
    <xf numFmtId="0" fontId="5" fillId="0" borderId="46" xfId="0" applyFont="1" applyBorder="1" applyAlignment="1" applyProtection="1">
      <alignment vertical="center"/>
    </xf>
    <xf numFmtId="0" fontId="18" fillId="0" borderId="46" xfId="0" applyFont="1" applyBorder="1" applyAlignment="1" applyProtection="1">
      <alignment horizontal="right" vertical="center"/>
    </xf>
    <xf numFmtId="188" fontId="5" fillId="0" borderId="46" xfId="0" applyNumberFormat="1" applyFont="1" applyBorder="1" applyProtection="1">
      <alignment vertical="center"/>
    </xf>
    <xf numFmtId="0" fontId="5" fillId="0" borderId="46" xfId="0" applyFont="1" applyBorder="1" applyAlignment="1" applyProtection="1">
      <alignment horizontal="left" vertical="center" shrinkToFit="1"/>
    </xf>
    <xf numFmtId="0" fontId="11" fillId="0" borderId="46" xfId="0" applyFont="1" applyBorder="1" applyAlignment="1" applyProtection="1">
      <alignment vertical="center" shrinkToFit="1"/>
    </xf>
    <xf numFmtId="0" fontId="57" fillId="0" borderId="1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12" fillId="0" borderId="0" xfId="0" applyFont="1" applyBorder="1" applyAlignment="1" applyProtection="1">
      <alignment vertical="center" shrinkToFit="1"/>
    </xf>
    <xf numFmtId="49" fontId="55" fillId="4" borderId="0" xfId="2" applyNumberFormat="1" applyFont="1" applyFill="1" applyBorder="1" applyAlignment="1" applyProtection="1">
      <alignment horizontal="right" vertical="center" wrapText="1"/>
    </xf>
    <xf numFmtId="0" fontId="5" fillId="4" borderId="7" xfId="0" applyFont="1" applyFill="1" applyBorder="1" applyProtection="1">
      <alignment vertical="center"/>
    </xf>
    <xf numFmtId="0" fontId="5" fillId="4" borderId="0" xfId="0" applyFont="1" applyFill="1" applyBorder="1" applyProtection="1">
      <alignment vertical="center"/>
    </xf>
    <xf numFmtId="0" fontId="5" fillId="4" borderId="1" xfId="0" applyFont="1" applyFill="1" applyBorder="1" applyProtection="1">
      <alignment vertical="center"/>
    </xf>
    <xf numFmtId="0" fontId="5" fillId="4" borderId="7" xfId="0" applyFont="1" applyFill="1" applyBorder="1" applyAlignment="1" applyProtection="1">
      <alignment horizontal="right" vertical="center"/>
    </xf>
    <xf numFmtId="0" fontId="4" fillId="4" borderId="0" xfId="0" applyFont="1" applyFill="1" applyBorder="1" applyProtection="1">
      <alignment vertical="center"/>
    </xf>
    <xf numFmtId="0" fontId="3" fillId="4" borderId="1" xfId="0" applyFont="1" applyFill="1" applyBorder="1" applyProtection="1">
      <alignment vertical="center"/>
    </xf>
    <xf numFmtId="0" fontId="5" fillId="4" borderId="7" xfId="0" applyFont="1" applyFill="1" applyBorder="1" applyAlignment="1" applyProtection="1">
      <alignment horizontal="left" vertical="center"/>
    </xf>
    <xf numFmtId="0" fontId="5" fillId="4" borderId="0" xfId="0" applyFont="1" applyFill="1" applyBorder="1" applyAlignment="1" applyProtection="1">
      <alignment vertical="top" wrapText="1"/>
    </xf>
    <xf numFmtId="0" fontId="47" fillId="4" borderId="0" xfId="0" applyFont="1" applyFill="1" applyBorder="1" applyAlignment="1" applyProtection="1">
      <alignment horizontal="center" vertical="center"/>
    </xf>
    <xf numFmtId="0" fontId="0" fillId="4" borderId="1" xfId="0" applyFill="1" applyBorder="1" applyProtection="1">
      <alignment vertical="center"/>
    </xf>
    <xf numFmtId="0" fontId="0" fillId="4" borderId="7" xfId="0" applyFill="1" applyBorder="1" applyProtection="1">
      <alignment vertical="center"/>
    </xf>
    <xf numFmtId="0" fontId="0" fillId="4" borderId="0" xfId="0" applyFill="1" applyBorder="1" applyProtection="1">
      <alignment vertical="center"/>
    </xf>
    <xf numFmtId="0" fontId="5" fillId="4" borderId="0" xfId="0" applyFont="1" applyFill="1" applyBorder="1" applyAlignment="1" applyProtection="1">
      <alignment horizontal="center" vertical="center"/>
    </xf>
    <xf numFmtId="0" fontId="67" fillId="4" borderId="0" xfId="0" applyFont="1" applyFill="1" applyBorder="1" applyAlignment="1" applyProtection="1">
      <alignment horizontal="right" vertical="center"/>
    </xf>
    <xf numFmtId="0" fontId="0" fillId="4" borderId="0" xfId="0" applyFill="1" applyBorder="1" applyAlignment="1" applyProtection="1">
      <alignment vertical="center"/>
    </xf>
    <xf numFmtId="0" fontId="19" fillId="4" borderId="0" xfId="0" applyFont="1" applyFill="1" applyBorder="1" applyProtection="1">
      <alignment vertical="center"/>
    </xf>
    <xf numFmtId="0" fontId="0" fillId="4" borderId="0" xfId="0" applyFill="1" applyBorder="1" applyAlignment="1" applyProtection="1">
      <alignment horizontal="center" vertical="center"/>
    </xf>
    <xf numFmtId="0" fontId="3" fillId="4" borderId="1" xfId="0" applyFont="1" applyFill="1" applyBorder="1" applyAlignment="1" applyProtection="1">
      <alignment vertical="center" shrinkToFit="1"/>
    </xf>
    <xf numFmtId="0" fontId="43" fillId="4" borderId="0" xfId="0" applyFont="1" applyFill="1" applyBorder="1" applyAlignment="1" applyProtection="1">
      <alignment horizontal="right" vertical="center"/>
    </xf>
    <xf numFmtId="0" fontId="0" fillId="4" borderId="8" xfId="0" applyFill="1" applyBorder="1" applyProtection="1">
      <alignment vertical="center"/>
    </xf>
    <xf numFmtId="0" fontId="0" fillId="4" borderId="2" xfId="0" applyFill="1" applyBorder="1" applyProtection="1">
      <alignment vertical="center"/>
    </xf>
    <xf numFmtId="0" fontId="5" fillId="4" borderId="2" xfId="0" applyFont="1" applyFill="1" applyBorder="1" applyProtection="1">
      <alignment vertical="center"/>
    </xf>
    <xf numFmtId="0" fontId="5" fillId="4" borderId="3" xfId="0" applyFont="1" applyFill="1" applyBorder="1" applyProtection="1">
      <alignment vertical="center"/>
    </xf>
    <xf numFmtId="0" fontId="68" fillId="4" borderId="0" xfId="0" applyFont="1" applyFill="1" applyBorder="1" applyAlignment="1" applyProtection="1">
      <alignment horizontal="right" vertical="center"/>
    </xf>
    <xf numFmtId="0" fontId="0" fillId="4" borderId="0" xfId="0" applyFont="1" applyFill="1" applyBorder="1" applyProtection="1">
      <alignment vertical="center"/>
    </xf>
    <xf numFmtId="0" fontId="19" fillId="4" borderId="0" xfId="0"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178" fontId="14" fillId="4" borderId="0" xfId="0" applyNumberFormat="1" applyFont="1" applyFill="1" applyBorder="1" applyAlignment="1" applyProtection="1">
      <alignment horizontal="right" vertical="center"/>
    </xf>
    <xf numFmtId="188" fontId="5" fillId="4" borderId="0" xfId="1" applyNumberFormat="1" applyFont="1" applyFill="1" applyBorder="1" applyAlignment="1" applyProtection="1">
      <alignment horizontal="right"/>
    </xf>
    <xf numFmtId="190" fontId="14" fillId="4" borderId="0" xfId="1" applyNumberFormat="1" applyFont="1" applyFill="1" applyBorder="1" applyAlignment="1" applyProtection="1">
      <alignment horizontal="center" vertical="center"/>
    </xf>
    <xf numFmtId="0" fontId="26" fillId="4" borderId="1" xfId="0" applyFont="1" applyFill="1" applyBorder="1" applyAlignment="1" applyProtection="1">
      <alignment vertical="center" shrinkToFit="1"/>
    </xf>
    <xf numFmtId="193" fontId="5" fillId="4" borderId="0" xfId="1" applyNumberFormat="1" applyFont="1" applyFill="1" applyBorder="1" applyAlignment="1" applyProtection="1">
      <alignment horizontal="center" vertical="center"/>
    </xf>
    <xf numFmtId="191" fontId="5" fillId="4" borderId="0" xfId="1" applyNumberFormat="1" applyFont="1" applyFill="1" applyBorder="1" applyAlignment="1" applyProtection="1">
      <alignment horizontal="left" vertical="center"/>
    </xf>
    <xf numFmtId="38" fontId="5" fillId="4" borderId="0" xfId="2" applyFont="1" applyFill="1" applyBorder="1" applyAlignment="1" applyProtection="1">
      <alignment horizontal="center" vertical="center"/>
    </xf>
    <xf numFmtId="0" fontId="6" fillId="4" borderId="0" xfId="0" applyFont="1" applyFill="1" applyBorder="1" applyProtection="1">
      <alignment vertical="center"/>
    </xf>
    <xf numFmtId="0" fontId="12" fillId="4" borderId="0" xfId="0" applyFont="1" applyFill="1" applyBorder="1" applyAlignment="1" applyProtection="1">
      <alignment vertical="center"/>
    </xf>
    <xf numFmtId="190" fontId="5" fillId="4" borderId="0" xfId="1" applyNumberFormat="1" applyFont="1" applyFill="1" applyBorder="1" applyAlignment="1" applyProtection="1">
      <alignment horizontal="center" vertical="center"/>
    </xf>
    <xf numFmtId="0" fontId="55" fillId="4" borderId="0" xfId="0" applyFont="1" applyFill="1" applyBorder="1" applyAlignment="1" applyProtection="1">
      <alignment horizontal="right" vertical="center"/>
    </xf>
    <xf numFmtId="49" fontId="14" fillId="4" borderId="7" xfId="2" applyNumberFormat="1" applyFont="1" applyFill="1" applyBorder="1" applyAlignment="1" applyProtection="1">
      <alignment horizontal="left" vertical="center"/>
    </xf>
    <xf numFmtId="0" fontId="5" fillId="4" borderId="1" xfId="0" applyFont="1" applyFill="1" applyBorder="1" applyAlignment="1" applyProtection="1">
      <alignment vertical="center" shrinkToFit="1"/>
    </xf>
    <xf numFmtId="0" fontId="5" fillId="4" borderId="8" xfId="0" applyFont="1" applyFill="1" applyBorder="1" applyProtection="1">
      <alignment vertical="center"/>
    </xf>
    <xf numFmtId="0" fontId="55" fillId="4" borderId="0" xfId="0" applyFont="1" applyFill="1" applyBorder="1" applyProtection="1">
      <alignment vertical="center"/>
    </xf>
    <xf numFmtId="0" fontId="5" fillId="4" borderId="39"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185" fontId="5" fillId="4" borderId="15" xfId="0" applyNumberFormat="1" applyFont="1" applyFill="1" applyBorder="1" applyAlignment="1" applyProtection="1">
      <alignment horizontal="center" vertical="center"/>
    </xf>
    <xf numFmtId="0" fontId="5" fillId="4" borderId="15" xfId="0" applyFont="1" applyFill="1" applyBorder="1" applyAlignment="1" applyProtection="1">
      <alignment horizontal="center" vertical="center" shrinkToFit="1"/>
    </xf>
    <xf numFmtId="0" fontId="0" fillId="4" borderId="15" xfId="0" applyFill="1" applyBorder="1" applyAlignment="1" applyProtection="1">
      <alignment vertical="center"/>
    </xf>
    <xf numFmtId="179" fontId="5" fillId="4" borderId="15" xfId="0" applyNumberFormat="1" applyFont="1" applyFill="1" applyBorder="1" applyAlignment="1" applyProtection="1">
      <alignment horizontal="center" vertical="center"/>
    </xf>
    <xf numFmtId="0" fontId="11" fillId="4" borderId="15" xfId="0" applyFont="1" applyFill="1" applyBorder="1" applyAlignment="1" applyProtection="1">
      <alignment horizontal="center" vertical="center" shrinkToFit="1"/>
    </xf>
    <xf numFmtId="180" fontId="5" fillId="4" borderId="17" xfId="0" applyNumberFormat="1" applyFont="1" applyFill="1" applyBorder="1" applyAlignment="1" applyProtection="1">
      <alignment horizontal="center" vertical="center" shrinkToFit="1"/>
    </xf>
    <xf numFmtId="0" fontId="5" fillId="4" borderId="7" xfId="0" applyFont="1" applyFill="1" applyBorder="1" applyAlignment="1" applyProtection="1">
      <alignment horizontal="center" vertical="center"/>
    </xf>
    <xf numFmtId="0" fontId="14" fillId="4" borderId="0" xfId="0" applyFont="1" applyFill="1" applyBorder="1" applyAlignment="1" applyProtection="1">
      <alignment horizontal="left" vertical="center"/>
    </xf>
    <xf numFmtId="185" fontId="5" fillId="4" borderId="0"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179" fontId="5" fillId="4" borderId="0" xfId="0" applyNumberFormat="1" applyFont="1" applyFill="1" applyBorder="1" applyAlignment="1" applyProtection="1">
      <alignment horizontal="center" vertical="center"/>
    </xf>
    <xf numFmtId="180" fontId="5" fillId="4" borderId="1" xfId="0" applyNumberFormat="1" applyFont="1" applyFill="1" applyBorder="1" applyAlignment="1" applyProtection="1">
      <alignment horizontal="center" vertical="center" shrinkToFit="1"/>
    </xf>
    <xf numFmtId="0" fontId="0" fillId="4" borderId="1" xfId="0" applyFill="1" applyBorder="1" applyAlignment="1" applyProtection="1">
      <alignment vertical="center"/>
    </xf>
    <xf numFmtId="0" fontId="5" fillId="4" borderId="0" xfId="0" applyFont="1" applyFill="1" applyBorder="1" applyAlignment="1" applyProtection="1">
      <alignment horizontal="justify" vertical="justify"/>
    </xf>
    <xf numFmtId="0" fontId="5" fillId="4" borderId="0" xfId="0" applyFont="1" applyFill="1" applyBorder="1" applyAlignment="1" applyProtection="1">
      <alignment horizontal="center" vertical="justify"/>
    </xf>
    <xf numFmtId="0" fontId="0" fillId="4" borderId="0" xfId="0" applyFill="1" applyBorder="1" applyAlignment="1" applyProtection="1">
      <alignment vertical="justify"/>
    </xf>
    <xf numFmtId="0" fontId="53" fillId="4" borderId="0" xfId="0" applyFont="1" applyFill="1" applyBorder="1" applyAlignment="1" applyProtection="1">
      <alignment horizontal="right" vertical="center"/>
    </xf>
    <xf numFmtId="0" fontId="5" fillId="4" borderId="0" xfId="0" applyFont="1" applyFill="1" applyBorder="1" applyAlignment="1" applyProtection="1">
      <alignment vertical="center" shrinkToFit="1"/>
    </xf>
    <xf numFmtId="0" fontId="0" fillId="4" borderId="0" xfId="0" applyFill="1" applyBorder="1" applyAlignment="1" applyProtection="1">
      <alignment vertical="center" shrinkToFit="1"/>
    </xf>
    <xf numFmtId="0" fontId="5" fillId="4" borderId="7" xfId="0" applyFont="1" applyFill="1" applyBorder="1" applyAlignment="1" applyProtection="1">
      <alignment vertical="center"/>
    </xf>
    <xf numFmtId="0" fontId="0" fillId="4" borderId="7" xfId="0" applyFont="1" applyFill="1" applyBorder="1" applyProtection="1">
      <alignment vertical="center"/>
    </xf>
    <xf numFmtId="0" fontId="5" fillId="4" borderId="0" xfId="0" applyFont="1" applyFill="1" applyProtection="1">
      <alignment vertical="center"/>
    </xf>
    <xf numFmtId="0" fontId="18" fillId="4" borderId="0" xfId="0" applyFont="1" applyFill="1" applyBorder="1" applyAlignment="1" applyProtection="1">
      <alignment vertical="center"/>
    </xf>
    <xf numFmtId="0" fontId="4" fillId="4" borderId="0" xfId="0" applyFont="1" applyFill="1" applyBorder="1" applyAlignment="1" applyProtection="1">
      <alignment vertical="center"/>
    </xf>
    <xf numFmtId="0" fontId="0" fillId="4" borderId="7" xfId="0" applyFont="1" applyFill="1" applyBorder="1" applyAlignment="1" applyProtection="1">
      <alignment vertical="center"/>
    </xf>
    <xf numFmtId="0" fontId="0" fillId="4" borderId="0" xfId="0" applyFont="1" applyFill="1" applyBorder="1" applyAlignment="1" applyProtection="1">
      <alignment vertical="center"/>
    </xf>
    <xf numFmtId="0" fontId="12" fillId="4" borderId="1" xfId="0" applyFont="1" applyFill="1" applyBorder="1" applyAlignment="1" applyProtection="1">
      <alignment vertical="center" shrinkToFit="1"/>
    </xf>
    <xf numFmtId="0" fontId="12" fillId="4" borderId="0" xfId="0" applyFont="1" applyFill="1" applyBorder="1" applyProtection="1">
      <alignment vertical="center"/>
    </xf>
    <xf numFmtId="0" fontId="18" fillId="4" borderId="0" xfId="0" applyFont="1" applyFill="1" applyBorder="1" applyAlignment="1" applyProtection="1">
      <alignment horizontal="right" vertical="center"/>
    </xf>
    <xf numFmtId="0" fontId="10" fillId="4" borderId="0" xfId="0" applyFont="1" applyFill="1" applyBorder="1" applyAlignment="1" applyProtection="1">
      <alignment vertical="center"/>
    </xf>
    <xf numFmtId="181" fontId="10" fillId="4" borderId="38" xfId="0" applyNumberFormat="1" applyFont="1" applyFill="1" applyBorder="1" applyAlignment="1" applyProtection="1">
      <alignment horizontal="right" vertical="center"/>
    </xf>
    <xf numFmtId="181" fontId="10" fillId="4" borderId="11" xfId="0" applyNumberFormat="1" applyFont="1" applyFill="1" applyBorder="1" applyAlignment="1" applyProtection="1">
      <alignment horizontal="right" vertical="center"/>
    </xf>
    <xf numFmtId="184" fontId="10" fillId="4" borderId="11" xfId="0" applyNumberFormat="1" applyFont="1" applyFill="1" applyBorder="1" applyAlignment="1" applyProtection="1">
      <alignment horizontal="right" vertical="center"/>
    </xf>
    <xf numFmtId="184" fontId="10" fillId="4" borderId="19" xfId="0" applyNumberFormat="1" applyFont="1" applyFill="1" applyBorder="1" applyAlignment="1" applyProtection="1">
      <alignment horizontal="right" vertical="center"/>
    </xf>
    <xf numFmtId="183" fontId="10" fillId="4" borderId="19" xfId="0" applyNumberFormat="1" applyFont="1" applyFill="1" applyBorder="1" applyAlignment="1" applyProtection="1">
      <alignment horizontal="right" vertical="center"/>
    </xf>
    <xf numFmtId="0" fontId="1" fillId="4" borderId="0" xfId="0" applyFont="1" applyFill="1" applyBorder="1" applyAlignment="1" applyProtection="1">
      <alignment vertical="center"/>
    </xf>
    <xf numFmtId="0" fontId="14" fillId="4" borderId="0"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5" fillId="4" borderId="0" xfId="0" applyFont="1" applyFill="1" applyBorder="1" applyAlignment="1" applyProtection="1">
      <alignment vertical="top"/>
    </xf>
    <xf numFmtId="0" fontId="5" fillId="4" borderId="0" xfId="0" applyFont="1" applyFill="1" applyBorder="1" applyAlignment="1" applyProtection="1">
      <alignment vertical="justify"/>
    </xf>
    <xf numFmtId="0" fontId="55" fillId="4" borderId="0" xfId="0" applyFont="1" applyFill="1" applyBorder="1" applyAlignment="1" applyProtection="1">
      <alignment vertical="justify"/>
    </xf>
    <xf numFmtId="183" fontId="31" fillId="4" borderId="18" xfId="0" applyNumberFormat="1" applyFont="1" applyFill="1" applyBorder="1" applyAlignment="1" applyProtection="1">
      <alignment horizontal="justify" vertical="justify"/>
    </xf>
    <xf numFmtId="0" fontId="53" fillId="4" borderId="0" xfId="0" applyFont="1" applyFill="1" applyBorder="1" applyAlignment="1" applyProtection="1">
      <alignment horizontal="right" vertical="justify"/>
    </xf>
    <xf numFmtId="0" fontId="7" fillId="4" borderId="0" xfId="0" applyFont="1" applyFill="1" applyBorder="1" applyAlignment="1" applyProtection="1">
      <alignment horizontal="left" vertical="center"/>
    </xf>
    <xf numFmtId="0" fontId="53" fillId="4" borderId="11" xfId="0" applyFont="1" applyFill="1" applyBorder="1" applyAlignment="1" applyProtection="1">
      <alignment horizontal="right" vertical="justify"/>
    </xf>
    <xf numFmtId="178" fontId="5" fillId="4" borderId="0" xfId="0" applyNumberFormat="1" applyFont="1" applyFill="1" applyBorder="1" applyProtection="1">
      <alignment vertical="center"/>
    </xf>
    <xf numFmtId="0" fontId="15" fillId="4" borderId="0" xfId="0" applyFont="1" applyFill="1" applyBorder="1" applyAlignment="1" applyProtection="1">
      <alignment horizontal="right" vertical="center"/>
    </xf>
    <xf numFmtId="0" fontId="14" fillId="4" borderId="0" xfId="0" applyFont="1" applyFill="1" applyBorder="1" applyAlignment="1" applyProtection="1">
      <alignment horizontal="justify" vertical="justify"/>
    </xf>
    <xf numFmtId="0" fontId="18" fillId="4" borderId="0" xfId="0" applyFont="1" applyFill="1" applyBorder="1" applyAlignment="1" applyProtection="1">
      <alignment horizontal="justify" vertical="justify"/>
    </xf>
    <xf numFmtId="0" fontId="24" fillId="4" borderId="0" xfId="0" applyFont="1" applyFill="1" applyBorder="1" applyAlignment="1" applyProtection="1">
      <alignment horizontal="right" vertical="center"/>
    </xf>
    <xf numFmtId="177" fontId="14" fillId="4" borderId="0" xfId="0" applyNumberFormat="1" applyFont="1" applyFill="1" applyBorder="1" applyAlignment="1" applyProtection="1">
      <alignment horizontal="center" vertical="center"/>
    </xf>
    <xf numFmtId="188" fontId="5" fillId="4" borderId="0" xfId="0" applyNumberFormat="1" applyFont="1" applyFill="1" applyBorder="1" applyProtection="1">
      <alignment vertical="center"/>
    </xf>
    <xf numFmtId="0" fontId="14" fillId="4" borderId="0" xfId="0" applyFont="1" applyFill="1" applyBorder="1" applyProtection="1">
      <alignment vertical="center"/>
    </xf>
    <xf numFmtId="0" fontId="7" fillId="4" borderId="0" xfId="0" applyFont="1" applyFill="1" applyBorder="1" applyAlignment="1" applyProtection="1">
      <alignment vertical="center" shrinkToFit="1"/>
    </xf>
    <xf numFmtId="0" fontId="5" fillId="4" borderId="0" xfId="0" applyFont="1" applyFill="1" applyBorder="1" applyAlignment="1" applyProtection="1">
      <alignment horizontal="justify" vertical="center"/>
    </xf>
    <xf numFmtId="176" fontId="5" fillId="4" borderId="0" xfId="0" applyNumberFormat="1" applyFont="1" applyFill="1" applyBorder="1" applyAlignment="1" applyProtection="1">
      <alignment horizontal="right" vertical="center"/>
    </xf>
    <xf numFmtId="178" fontId="5" fillId="4" borderId="0" xfId="0" applyNumberFormat="1" applyFont="1" applyFill="1" applyBorder="1" applyAlignment="1" applyProtection="1">
      <alignment horizontal="center" vertical="center"/>
    </xf>
    <xf numFmtId="0" fontId="29" fillId="4" borderId="1" xfId="0" applyFont="1" applyFill="1" applyBorder="1" applyProtection="1">
      <alignment vertical="center"/>
    </xf>
    <xf numFmtId="0" fontId="5" fillId="4" borderId="0" xfId="0" applyFont="1" applyFill="1" applyBorder="1" applyAlignment="1" applyProtection="1">
      <alignment vertical="center" wrapText="1"/>
    </xf>
    <xf numFmtId="0" fontId="5" fillId="4" borderId="0" xfId="0" applyFont="1" applyFill="1" applyBorder="1" applyAlignment="1" applyProtection="1">
      <alignment horizontal="left" vertical="center" shrinkToFit="1"/>
    </xf>
    <xf numFmtId="181" fontId="5" fillId="4" borderId="0" xfId="0" applyNumberFormat="1" applyFont="1" applyFill="1" applyBorder="1" applyAlignment="1" applyProtection="1">
      <alignment vertical="center"/>
    </xf>
    <xf numFmtId="0" fontId="5" fillId="4" borderId="7" xfId="0" applyFont="1" applyFill="1" applyBorder="1" applyAlignment="1" applyProtection="1">
      <alignment vertical="top" wrapText="1"/>
    </xf>
    <xf numFmtId="0" fontId="5" fillId="4" borderId="1" xfId="0" applyFont="1" applyFill="1" applyBorder="1" applyAlignment="1" applyProtection="1">
      <alignment vertical="top" wrapText="1"/>
    </xf>
    <xf numFmtId="0" fontId="29" fillId="4" borderId="0" xfId="0" applyFont="1" applyFill="1" applyBorder="1" applyProtection="1">
      <alignment vertical="center"/>
    </xf>
    <xf numFmtId="181" fontId="18" fillId="4" borderId="0" xfId="0" applyNumberFormat="1" applyFont="1" applyFill="1" applyBorder="1" applyAlignment="1" applyProtection="1">
      <alignment horizontal="right" vertical="center"/>
    </xf>
    <xf numFmtId="181" fontId="5" fillId="4" borderId="0" xfId="0" applyNumberFormat="1" applyFont="1" applyFill="1" applyBorder="1" applyAlignment="1" applyProtection="1">
      <alignment horizontal="right" vertical="center"/>
    </xf>
    <xf numFmtId="0" fontId="1" fillId="4" borderId="0" xfId="0" applyFont="1" applyFill="1" applyBorder="1" applyAlignment="1" applyProtection="1">
      <alignment vertical="top"/>
    </xf>
    <xf numFmtId="0" fontId="29" fillId="4" borderId="7" xfId="0" applyFont="1" applyFill="1" applyBorder="1" applyProtection="1">
      <alignment vertical="center"/>
    </xf>
    <xf numFmtId="177" fontId="6" fillId="4" borderId="0" xfId="0" applyNumberFormat="1" applyFont="1" applyFill="1" applyBorder="1" applyAlignment="1" applyProtection="1">
      <alignment horizontal="center" vertical="center"/>
    </xf>
    <xf numFmtId="0" fontId="14" fillId="4" borderId="0" xfId="0" applyFont="1" applyFill="1" applyBorder="1" applyAlignment="1" applyProtection="1">
      <alignment vertical="top"/>
    </xf>
    <xf numFmtId="181" fontId="53" fillId="4" borderId="0" xfId="0" applyNumberFormat="1" applyFont="1" applyFill="1" applyBorder="1" applyAlignment="1" applyProtection="1">
      <alignment horizontal="right" vertical="center"/>
    </xf>
    <xf numFmtId="184" fontId="5" fillId="4" borderId="0" xfId="0" applyNumberFormat="1" applyFont="1" applyFill="1" applyBorder="1" applyAlignment="1" applyProtection="1">
      <alignment vertical="center"/>
    </xf>
    <xf numFmtId="177" fontId="14" fillId="4" borderId="15" xfId="0" applyNumberFormat="1" applyFont="1" applyFill="1" applyBorder="1" applyAlignment="1" applyProtection="1">
      <alignment horizontal="center" vertical="center"/>
    </xf>
    <xf numFmtId="0" fontId="8" fillId="4" borderId="1" xfId="0" applyFont="1" applyFill="1" applyBorder="1" applyProtection="1">
      <alignment vertical="center"/>
    </xf>
    <xf numFmtId="0" fontId="5" fillId="4" borderId="2" xfId="0" applyFont="1" applyFill="1" applyBorder="1" applyAlignment="1" applyProtection="1">
      <alignment vertical="top" wrapText="1"/>
    </xf>
    <xf numFmtId="0" fontId="4" fillId="4" borderId="0"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5" fillId="4" borderId="0" xfId="0" applyFont="1" applyFill="1" applyAlignment="1" applyProtection="1">
      <alignment horizontal="left" vertical="center"/>
    </xf>
    <xf numFmtId="0" fontId="5" fillId="4" borderId="0" xfId="0" applyFont="1" applyFill="1" applyAlignment="1" applyProtection="1">
      <alignment horizontal="justify" vertical="justify"/>
    </xf>
    <xf numFmtId="0" fontId="5" fillId="4" borderId="0" xfId="0" applyFont="1" applyFill="1" applyAlignment="1" applyProtection="1">
      <alignment horizontal="justify" vertical="center"/>
    </xf>
    <xf numFmtId="180" fontId="67" fillId="4" borderId="0" xfId="0" applyNumberFormat="1" applyFont="1" applyFill="1" applyBorder="1" applyAlignment="1" applyProtection="1">
      <alignment horizontal="right" vertical="center"/>
    </xf>
    <xf numFmtId="180" fontId="18" fillId="4" borderId="0" xfId="0" applyNumberFormat="1" applyFont="1" applyFill="1" applyBorder="1" applyAlignment="1" applyProtection="1">
      <alignment horizontal="justify" vertical="justify"/>
    </xf>
    <xf numFmtId="180" fontId="14" fillId="4" borderId="0" xfId="0" applyNumberFormat="1" applyFont="1" applyFill="1" applyBorder="1" applyAlignment="1" applyProtection="1">
      <alignment horizontal="justify" vertical="justify"/>
    </xf>
    <xf numFmtId="0" fontId="11" fillId="4" borderId="0" xfId="0" applyFont="1" applyFill="1" applyBorder="1" applyAlignment="1" applyProtection="1">
      <alignment horizontal="justify" vertical="justify"/>
    </xf>
    <xf numFmtId="0" fontId="14" fillId="4" borderId="0" xfId="0" applyFont="1" applyFill="1" applyBorder="1" applyAlignment="1" applyProtection="1">
      <alignment vertical="center"/>
    </xf>
    <xf numFmtId="179" fontId="8" fillId="4" borderId="0" xfId="0" applyNumberFormat="1" applyFont="1" applyFill="1" applyBorder="1" applyProtection="1">
      <alignment vertical="center"/>
    </xf>
    <xf numFmtId="182" fontId="5" fillId="4" borderId="0" xfId="0" applyNumberFormat="1" applyFont="1" applyFill="1" applyBorder="1" applyAlignment="1" applyProtection="1">
      <alignment horizontal="center" vertical="center"/>
    </xf>
    <xf numFmtId="0" fontId="8" fillId="4" borderId="2" xfId="0" applyFont="1" applyFill="1" applyBorder="1" applyProtection="1">
      <alignment vertical="center"/>
    </xf>
    <xf numFmtId="0" fontId="4" fillId="4" borderId="2" xfId="0" applyFont="1" applyFill="1" applyBorder="1" applyProtection="1">
      <alignment vertical="center"/>
    </xf>
    <xf numFmtId="0" fontId="14" fillId="4" borderId="2"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2" fillId="4" borderId="2" xfId="0" applyFont="1" applyFill="1" applyBorder="1" applyAlignment="1" applyProtection="1">
      <alignment horizontal="center" vertical="center" shrinkToFit="1"/>
    </xf>
    <xf numFmtId="0" fontId="12" fillId="4" borderId="3" xfId="0" applyFont="1" applyFill="1" applyBorder="1" applyAlignment="1" applyProtection="1">
      <alignment horizontal="center" vertical="center" shrinkToFit="1"/>
    </xf>
    <xf numFmtId="0" fontId="5" fillId="4" borderId="8" xfId="0" applyFont="1" applyFill="1" applyBorder="1" applyAlignment="1" applyProtection="1">
      <alignment vertical="top" wrapText="1"/>
    </xf>
    <xf numFmtId="0" fontId="5" fillId="4" borderId="3" xfId="0" applyFont="1" applyFill="1" applyBorder="1" applyAlignment="1" applyProtection="1">
      <alignment vertical="top" wrapText="1"/>
    </xf>
    <xf numFmtId="0" fontId="5" fillId="4" borderId="2" xfId="0" applyFont="1" applyFill="1" applyBorder="1" applyAlignment="1" applyProtection="1">
      <alignment vertical="center"/>
    </xf>
    <xf numFmtId="0" fontId="18" fillId="4" borderId="2" xfId="0" applyFont="1" applyFill="1" applyBorder="1" applyAlignment="1" applyProtection="1">
      <alignment horizontal="right" vertical="center"/>
    </xf>
    <xf numFmtId="0" fontId="5" fillId="4" borderId="2" xfId="0" applyFont="1" applyFill="1" applyBorder="1" applyAlignment="1" applyProtection="1">
      <alignment horizontal="right" vertical="center"/>
    </xf>
    <xf numFmtId="0" fontId="5" fillId="4" borderId="2" xfId="0" applyFont="1" applyFill="1" applyBorder="1" applyAlignment="1" applyProtection="1">
      <alignment horizontal="left" vertical="center" shrinkToFit="1"/>
    </xf>
    <xf numFmtId="0" fontId="11" fillId="4" borderId="2" xfId="0" applyFont="1" applyFill="1" applyBorder="1" applyAlignment="1" applyProtection="1">
      <alignment vertical="center" shrinkToFit="1"/>
    </xf>
    <xf numFmtId="0" fontId="0" fillId="4" borderId="3" xfId="0" applyFill="1" applyBorder="1" applyAlignment="1" applyProtection="1">
      <alignment vertical="center" shrinkToFit="1"/>
    </xf>
    <xf numFmtId="0" fontId="0" fillId="0" borderId="19" xfId="0" applyBorder="1" applyAlignment="1" applyProtection="1">
      <alignment horizontal="center" vertical="center"/>
    </xf>
    <xf numFmtId="0" fontId="0" fillId="4" borderId="13" xfId="0" applyFill="1" applyBorder="1" applyAlignment="1" applyProtection="1">
      <alignment vertical="center"/>
    </xf>
    <xf numFmtId="0" fontId="0" fillId="4" borderId="43" xfId="0" applyFill="1" applyBorder="1" applyAlignment="1" applyProtection="1">
      <alignment vertical="center"/>
    </xf>
    <xf numFmtId="0" fontId="0" fillId="4" borderId="28" xfId="0" applyFill="1" applyBorder="1" applyAlignment="1" applyProtection="1">
      <alignment vertical="center"/>
    </xf>
    <xf numFmtId="0" fontId="0" fillId="0" borderId="87" xfId="0" applyBorder="1" applyAlignment="1" applyProtection="1">
      <alignment horizontal="center" vertical="center"/>
    </xf>
    <xf numFmtId="0" fontId="57" fillId="0" borderId="87" xfId="0" applyFont="1" applyBorder="1" applyAlignment="1" applyProtection="1">
      <alignment horizontal="center" vertical="center"/>
    </xf>
    <xf numFmtId="0" fontId="5" fillId="0" borderId="87" xfId="0" applyFont="1" applyBorder="1" applyAlignment="1" applyProtection="1">
      <alignment horizontal="center" vertical="center" shrinkToFit="1"/>
    </xf>
    <xf numFmtId="0" fontId="0" fillId="4" borderId="88" xfId="0" applyFill="1" applyBorder="1" applyAlignment="1" applyProtection="1">
      <alignment vertical="center"/>
    </xf>
    <xf numFmtId="0" fontId="0" fillId="4" borderId="89" xfId="0" applyFill="1" applyBorder="1" applyAlignment="1" applyProtection="1">
      <alignment vertical="center"/>
    </xf>
    <xf numFmtId="0" fontId="57" fillId="0" borderId="87" xfId="0" applyFont="1" applyFill="1" applyBorder="1" applyAlignment="1" applyProtection="1">
      <alignment horizontal="center" vertical="center"/>
    </xf>
    <xf numFmtId="0" fontId="5" fillId="0" borderId="87" xfId="0" applyFont="1" applyFill="1" applyBorder="1" applyAlignment="1" applyProtection="1">
      <alignment horizontal="center" vertical="center" shrinkToFit="1"/>
    </xf>
    <xf numFmtId="190" fontId="14" fillId="4" borderId="2" xfId="1" applyNumberFormat="1" applyFont="1" applyFill="1" applyBorder="1" applyAlignment="1" applyProtection="1">
      <alignment horizontal="center" vertical="center"/>
    </xf>
    <xf numFmtId="0" fontId="26" fillId="4" borderId="3" xfId="0" applyFont="1" applyFill="1" applyBorder="1" applyAlignment="1" applyProtection="1">
      <alignment vertical="center" shrinkToFit="1"/>
    </xf>
    <xf numFmtId="184" fontId="14" fillId="4" borderId="0" xfId="0" applyNumberFormat="1" applyFont="1" applyFill="1" applyBorder="1" applyAlignment="1" applyProtection="1">
      <alignment horizontal="center" vertical="center"/>
    </xf>
    <xf numFmtId="176" fontId="19" fillId="4" borderId="0" xfId="0" applyNumberFormat="1" applyFont="1" applyFill="1" applyBorder="1" applyAlignment="1" applyProtection="1">
      <alignment horizontal="right" vertical="center"/>
    </xf>
    <xf numFmtId="178" fontId="6" fillId="4" borderId="0" xfId="0" applyNumberFormat="1" applyFont="1" applyFill="1" applyBorder="1" applyAlignment="1" applyProtection="1">
      <alignment horizontal="right" vertical="center"/>
    </xf>
    <xf numFmtId="0" fontId="0" fillId="4" borderId="2" xfId="0" applyFill="1" applyBorder="1" applyAlignment="1" applyProtection="1">
      <alignment vertical="center"/>
    </xf>
    <xf numFmtId="0" fontId="12" fillId="4" borderId="13" xfId="0" applyFont="1" applyFill="1" applyBorder="1" applyAlignment="1" applyProtection="1">
      <alignment vertical="center" shrinkToFit="1"/>
    </xf>
    <xf numFmtId="0" fontId="12" fillId="4" borderId="2" xfId="0" applyFont="1" applyFill="1" applyBorder="1" applyProtection="1">
      <alignment vertical="center"/>
    </xf>
    <xf numFmtId="0" fontId="12" fillId="4" borderId="3" xfId="0" applyFont="1" applyFill="1" applyBorder="1" applyProtection="1">
      <alignment vertical="center"/>
    </xf>
    <xf numFmtId="188" fontId="5" fillId="4" borderId="2" xfId="0" applyNumberFormat="1" applyFont="1" applyFill="1" applyBorder="1" applyAlignment="1" applyProtection="1">
      <alignment vertical="center"/>
    </xf>
    <xf numFmtId="0" fontId="63" fillId="4" borderId="0" xfId="0" applyFont="1" applyFill="1" applyBorder="1" applyAlignment="1" applyProtection="1">
      <alignment horizontal="right" vertical="center"/>
    </xf>
    <xf numFmtId="176" fontId="55" fillId="4" borderId="0" xfId="0" applyNumberFormat="1" applyFont="1" applyFill="1" applyBorder="1" applyAlignment="1" applyProtection="1">
      <alignment horizontal="right" vertical="center"/>
    </xf>
    <xf numFmtId="0" fontId="29" fillId="4" borderId="1" xfId="0" applyFont="1" applyFill="1" applyBorder="1" applyAlignment="1" applyProtection="1">
      <alignment vertical="center"/>
    </xf>
    <xf numFmtId="0" fontId="5" fillId="4" borderId="1" xfId="0" applyFont="1" applyFill="1" applyBorder="1" applyAlignment="1" applyProtection="1">
      <alignment horizontal="left" vertical="center"/>
    </xf>
    <xf numFmtId="0" fontId="8" fillId="4" borderId="1" xfId="0" applyFont="1" applyFill="1" applyBorder="1" applyAlignment="1" applyProtection="1">
      <alignment horizontal="left" vertical="center"/>
    </xf>
    <xf numFmtId="0" fontId="0" fillId="4" borderId="0" xfId="0" applyFill="1" applyBorder="1" applyProtection="1">
      <alignment vertical="center"/>
      <protection locked="0"/>
    </xf>
    <xf numFmtId="0" fontId="0" fillId="4" borderId="0" xfId="0" applyFill="1" applyProtection="1">
      <alignment vertical="center"/>
    </xf>
    <xf numFmtId="0" fontId="0" fillId="4" borderId="46" xfId="0" applyFill="1" applyBorder="1" applyProtection="1">
      <alignment vertical="center"/>
    </xf>
    <xf numFmtId="0" fontId="5" fillId="4" borderId="46" xfId="0" applyFont="1" applyFill="1" applyBorder="1" applyAlignment="1" applyProtection="1">
      <alignment horizontal="right" vertical="center"/>
    </xf>
    <xf numFmtId="190" fontId="14" fillId="4" borderId="46" xfId="1" applyNumberFormat="1" applyFont="1" applyFill="1" applyBorder="1" applyAlignment="1" applyProtection="1">
      <alignment horizontal="center" vertical="center"/>
    </xf>
    <xf numFmtId="0" fontId="26" fillId="4" borderId="46" xfId="0" applyFont="1" applyFill="1" applyBorder="1" applyAlignment="1" applyProtection="1">
      <alignment vertical="center" shrinkToFit="1"/>
    </xf>
    <xf numFmtId="0" fontId="0" fillId="4" borderId="16" xfId="0" applyFill="1" applyBorder="1" applyProtection="1">
      <alignment vertical="center"/>
    </xf>
    <xf numFmtId="0" fontId="0" fillId="4" borderId="34" xfId="0" applyFill="1" applyBorder="1" applyAlignment="1" applyProtection="1">
      <alignment vertical="center" wrapText="1"/>
      <protection locked="0"/>
    </xf>
    <xf numFmtId="0" fontId="0" fillId="0" borderId="22" xfId="0" applyBorder="1" applyAlignment="1" applyProtection="1">
      <alignment vertical="center"/>
    </xf>
    <xf numFmtId="0" fontId="0" fillId="0" borderId="14" xfId="0" applyBorder="1" applyAlignment="1" applyProtection="1">
      <alignment vertical="center"/>
    </xf>
    <xf numFmtId="0" fontId="5" fillId="0" borderId="2" xfId="0" applyFont="1" applyBorder="1" applyProtection="1">
      <alignment vertical="center"/>
    </xf>
    <xf numFmtId="0" fontId="5" fillId="4" borderId="2" xfId="0" applyFont="1" applyFill="1" applyBorder="1" applyAlignment="1" applyProtection="1">
      <alignment vertical="center" shrinkToFit="1"/>
    </xf>
    <xf numFmtId="0" fontId="12" fillId="0" borderId="14" xfId="0" applyFont="1" applyBorder="1" applyAlignment="1" applyProtection="1">
      <alignment horizontal="center" vertical="center" shrinkToFit="1"/>
    </xf>
    <xf numFmtId="0" fontId="12" fillId="0" borderId="10" xfId="0" applyFont="1" applyBorder="1" applyAlignment="1" applyProtection="1">
      <alignment horizontal="center" vertical="center"/>
    </xf>
    <xf numFmtId="0" fontId="12" fillId="4" borderId="30" xfId="0" applyFont="1" applyFill="1" applyBorder="1" applyAlignment="1" applyProtection="1">
      <alignment vertical="center" shrinkToFit="1"/>
    </xf>
    <xf numFmtId="0" fontId="0" fillId="4" borderId="13" xfId="0" applyFill="1" applyBorder="1" applyAlignment="1" applyProtection="1">
      <alignment vertical="center" wrapText="1"/>
    </xf>
    <xf numFmtId="0" fontId="0" fillId="4" borderId="11" xfId="0" applyFill="1" applyBorder="1" applyAlignment="1" applyProtection="1">
      <alignment vertical="center" wrapText="1"/>
    </xf>
    <xf numFmtId="0" fontId="0" fillId="4" borderId="43" xfId="0" applyFill="1" applyBorder="1" applyAlignment="1" applyProtection="1">
      <alignment vertical="center" wrapText="1"/>
    </xf>
    <xf numFmtId="0" fontId="0" fillId="4" borderId="37" xfId="0" applyFill="1" applyBorder="1" applyAlignment="1" applyProtection="1">
      <alignment vertical="center"/>
    </xf>
    <xf numFmtId="0" fontId="5" fillId="4" borderId="15" xfId="0" applyFont="1" applyFill="1" applyBorder="1" applyAlignment="1" applyProtection="1">
      <alignment horizontal="center" vertical="center" wrapText="1"/>
    </xf>
    <xf numFmtId="0" fontId="5" fillId="7" borderId="25" xfId="0" applyFont="1" applyFill="1" applyBorder="1" applyAlignment="1" applyProtection="1">
      <alignment horizontal="centerContinuous" vertical="center"/>
    </xf>
    <xf numFmtId="0" fontId="5" fillId="7" borderId="24" xfId="0" applyFont="1" applyFill="1" applyBorder="1" applyAlignment="1" applyProtection="1">
      <alignment horizontal="centerContinuous" vertical="center"/>
    </xf>
    <xf numFmtId="0" fontId="5" fillId="7" borderId="26" xfId="0" applyFont="1" applyFill="1" applyBorder="1" applyAlignment="1" applyProtection="1">
      <alignment horizontal="centerContinuous" vertical="center"/>
    </xf>
    <xf numFmtId="0" fontId="0" fillId="4" borderId="29" xfId="0" applyFont="1" applyFill="1" applyBorder="1" applyAlignment="1" applyProtection="1">
      <alignment horizontal="left" vertical="center"/>
    </xf>
    <xf numFmtId="0" fontId="2" fillId="4" borderId="18" xfId="0" applyFont="1" applyFill="1" applyBorder="1" applyAlignment="1" applyProtection="1">
      <alignment horizontal="left" vertical="center" wrapText="1"/>
    </xf>
    <xf numFmtId="0" fontId="2" fillId="4" borderId="24" xfId="0" applyFont="1" applyFill="1" applyBorder="1" applyAlignment="1" applyProtection="1">
      <alignment horizontal="left" vertical="center" wrapText="1"/>
    </xf>
    <xf numFmtId="0" fontId="57" fillId="4" borderId="24" xfId="0" applyFont="1" applyFill="1" applyBorder="1" applyAlignment="1" applyProtection="1">
      <alignment horizontal="center" vertical="center"/>
    </xf>
    <xf numFmtId="0" fontId="5" fillId="4" borderId="24" xfId="0" applyFont="1" applyFill="1" applyBorder="1" applyAlignment="1" applyProtection="1">
      <alignment horizontal="center" vertical="center" shrinkToFit="1"/>
    </xf>
    <xf numFmtId="0" fontId="12" fillId="4" borderId="24" xfId="0" applyFont="1" applyFill="1" applyBorder="1" applyAlignment="1" applyProtection="1">
      <alignment horizontal="right" vertical="center"/>
    </xf>
    <xf numFmtId="0" fontId="5" fillId="4" borderId="17" xfId="0" applyFont="1" applyFill="1" applyBorder="1" applyAlignment="1" applyProtection="1">
      <alignment horizontal="center" vertical="center" wrapText="1"/>
    </xf>
    <xf numFmtId="0" fontId="7" fillId="4" borderId="0" xfId="0" applyFont="1" applyFill="1" applyBorder="1" applyAlignment="1" applyProtection="1">
      <alignment vertical="center"/>
    </xf>
    <xf numFmtId="0" fontId="5" fillId="4" borderId="0" xfId="0" applyFont="1" applyFill="1" applyBorder="1" applyAlignment="1" applyProtection="1">
      <alignment horizontal="left" vertical="center"/>
    </xf>
    <xf numFmtId="38" fontId="5" fillId="4" borderId="0" xfId="2" applyFont="1" applyFill="1" applyBorder="1" applyAlignment="1" applyProtection="1">
      <alignment vertical="center"/>
    </xf>
    <xf numFmtId="0" fontId="5" fillId="4" borderId="1" xfId="0" applyFont="1" applyFill="1" applyBorder="1" applyAlignment="1" applyProtection="1">
      <alignment horizontal="left" vertical="center" shrinkToFit="1"/>
    </xf>
    <xf numFmtId="0" fontId="26" fillId="4" borderId="1" xfId="0" applyFont="1" applyFill="1" applyBorder="1" applyAlignment="1" applyProtection="1">
      <alignment horizontal="left" vertical="center" shrinkToFit="1"/>
    </xf>
    <xf numFmtId="0" fontId="5" fillId="0" borderId="81" xfId="0" applyFont="1" applyBorder="1" applyAlignment="1" applyProtection="1">
      <alignment horizontal="center" vertical="center" shrinkToFit="1"/>
    </xf>
    <xf numFmtId="179" fontId="5" fillId="5" borderId="40" xfId="0" applyNumberFormat="1" applyFont="1" applyFill="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4" xfId="0" applyFont="1" applyBorder="1" applyAlignment="1" applyProtection="1">
      <alignment vertical="center"/>
    </xf>
    <xf numFmtId="0" fontId="12" fillId="0" borderId="0" xfId="0" applyFont="1" applyAlignment="1" applyProtection="1">
      <alignment vertical="center"/>
    </xf>
    <xf numFmtId="0" fontId="5" fillId="0" borderId="50" xfId="0" applyFont="1" applyBorder="1" applyAlignment="1" applyProtection="1">
      <alignment vertical="center" shrinkToFit="1"/>
    </xf>
    <xf numFmtId="0" fontId="5" fillId="2" borderId="50" xfId="0" applyFont="1" applyFill="1" applyBorder="1" applyAlignment="1" applyProtection="1">
      <alignment vertical="center" shrinkToFit="1"/>
      <protection locked="0"/>
    </xf>
    <xf numFmtId="0" fontId="5" fillId="0" borderId="49" xfId="0" applyFont="1" applyBorder="1" applyAlignment="1" applyProtection="1">
      <alignment horizontal="center" vertical="center" shrinkToFit="1"/>
    </xf>
    <xf numFmtId="0" fontId="2" fillId="3" borderId="75" xfId="0" applyFont="1" applyFill="1" applyBorder="1" applyAlignment="1" applyProtection="1">
      <alignment horizontal="center" vertical="center" shrinkToFit="1"/>
      <protection locked="0"/>
    </xf>
    <xf numFmtId="0" fontId="5" fillId="4" borderId="27" xfId="0" applyFont="1" applyFill="1" applyBorder="1" applyAlignment="1" applyProtection="1">
      <alignment vertical="center" shrinkToFit="1"/>
    </xf>
    <xf numFmtId="0" fontId="5" fillId="0" borderId="26" xfId="0" applyFont="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4" borderId="26" xfId="0" applyFont="1" applyFill="1" applyBorder="1" applyAlignment="1" applyProtection="1">
      <alignment horizontal="center" vertical="center" shrinkToFit="1"/>
    </xf>
    <xf numFmtId="0" fontId="5" fillId="0" borderId="4" xfId="0" applyFont="1" applyBorder="1" applyAlignment="1" applyProtection="1">
      <alignment horizontal="center" vertical="center" shrinkToFit="1"/>
    </xf>
    <xf numFmtId="176" fontId="48" fillId="0" borderId="82" xfId="2" applyNumberFormat="1" applyFont="1" applyFill="1" applyBorder="1" applyAlignment="1" applyProtection="1">
      <alignment vertical="center" shrinkToFit="1"/>
      <protection locked="0"/>
    </xf>
    <xf numFmtId="178" fontId="48" fillId="0" borderId="82" xfId="2" applyNumberFormat="1" applyFont="1" applyFill="1" applyBorder="1" applyAlignment="1" applyProtection="1">
      <alignment horizontal="right" vertical="center" shrinkToFit="1"/>
      <protection locked="0"/>
    </xf>
    <xf numFmtId="180" fontId="48" fillId="0" borderId="82" xfId="2" applyNumberFormat="1" applyFont="1" applyFill="1" applyBorder="1" applyAlignment="1" applyProtection="1">
      <alignment horizontal="right" vertical="center" shrinkToFit="1"/>
      <protection locked="0"/>
    </xf>
    <xf numFmtId="179" fontId="48" fillId="0" borderId="82" xfId="2" applyNumberFormat="1" applyFont="1" applyFill="1" applyBorder="1" applyAlignment="1" applyProtection="1">
      <alignment horizontal="right" vertical="center" shrinkToFit="1"/>
      <protection locked="0"/>
    </xf>
    <xf numFmtId="176" fontId="48" fillId="0" borderId="82" xfId="2" applyNumberFormat="1" applyFont="1" applyFill="1" applyBorder="1" applyAlignment="1" applyProtection="1">
      <alignment horizontal="right" vertical="center" shrinkToFit="1"/>
      <protection locked="0"/>
    </xf>
    <xf numFmtId="178" fontId="31" fillId="4" borderId="82" xfId="0" applyNumberFormat="1" applyFont="1" applyFill="1" applyBorder="1" applyAlignment="1" applyProtection="1">
      <alignment horizontal="right" vertical="center" shrinkToFit="1"/>
    </xf>
    <xf numFmtId="195" fontId="5" fillId="4" borderId="9" xfId="1" applyNumberFormat="1" applyFont="1" applyFill="1" applyBorder="1" applyAlignment="1" applyProtection="1">
      <alignment horizontal="center" vertical="center" shrinkToFit="1"/>
    </xf>
    <xf numFmtId="0" fontId="0" fillId="0" borderId="0" xfId="0" applyBorder="1" applyAlignment="1" applyProtection="1">
      <alignment horizontal="center" vertical="center" shrinkToFit="1"/>
    </xf>
    <xf numFmtId="178" fontId="14" fillId="0" borderId="0" xfId="0" applyNumberFormat="1" applyFont="1" applyFill="1" applyBorder="1" applyAlignment="1" applyProtection="1">
      <alignment horizontal="right" vertical="center" shrinkToFit="1"/>
    </xf>
    <xf numFmtId="188" fontId="5" fillId="0" borderId="0" xfId="1" applyNumberFormat="1" applyFont="1" applyBorder="1" applyAlignment="1" applyProtection="1">
      <alignment horizontal="right" shrinkToFit="1"/>
    </xf>
    <xf numFmtId="190" fontId="5" fillId="0" borderId="9" xfId="1" applyNumberFormat="1" applyFont="1" applyBorder="1" applyAlignment="1" applyProtection="1">
      <alignment horizontal="center" vertical="center" shrinkToFit="1"/>
    </xf>
    <xf numFmtId="190" fontId="5" fillId="4" borderId="0" xfId="1" applyNumberFormat="1" applyFont="1" applyFill="1" applyBorder="1" applyAlignment="1" applyProtection="1">
      <alignment horizontal="center" vertical="center" shrinkToFit="1"/>
    </xf>
    <xf numFmtId="190" fontId="14" fillId="4" borderId="0" xfId="1" applyNumberFormat="1" applyFont="1" applyFill="1" applyBorder="1" applyAlignment="1" applyProtection="1">
      <alignment horizontal="center" vertical="center" shrinkToFit="1"/>
    </xf>
    <xf numFmtId="181" fontId="5" fillId="0" borderId="10" xfId="0" applyNumberFormat="1" applyFont="1" applyFill="1" applyBorder="1" applyAlignment="1" applyProtection="1">
      <alignment horizontal="right" vertical="center" shrinkToFit="1"/>
    </xf>
    <xf numFmtId="0" fontId="5" fillId="4" borderId="0" xfId="0" applyFont="1" applyFill="1" applyBorder="1" applyAlignment="1" applyProtection="1">
      <alignment horizontal="right" vertical="center" shrinkToFit="1"/>
    </xf>
    <xf numFmtId="184" fontId="30" fillId="4" borderId="10" xfId="0" applyNumberFormat="1" applyFont="1" applyFill="1" applyBorder="1" applyAlignment="1" applyProtection="1">
      <alignment horizontal="right" vertical="center" shrinkToFit="1"/>
    </xf>
    <xf numFmtId="176" fontId="32" fillId="5" borderId="10" xfId="2" applyNumberFormat="1" applyFont="1" applyFill="1" applyBorder="1" applyAlignment="1" applyProtection="1">
      <alignment vertical="center" shrinkToFit="1"/>
      <protection locked="0"/>
    </xf>
    <xf numFmtId="178" fontId="32" fillId="5" borderId="10" xfId="2" applyNumberFormat="1" applyFont="1" applyFill="1" applyBorder="1" applyAlignment="1" applyProtection="1">
      <alignment horizontal="right" vertical="center" shrinkToFit="1"/>
      <protection locked="0"/>
    </xf>
    <xf numFmtId="180" fontId="32" fillId="5" borderId="10" xfId="2" applyNumberFormat="1" applyFont="1" applyFill="1" applyBorder="1" applyAlignment="1" applyProtection="1">
      <alignment horizontal="right" vertical="center" shrinkToFit="1"/>
      <protection locked="0"/>
    </xf>
    <xf numFmtId="179" fontId="32" fillId="5" borderId="10" xfId="2" applyNumberFormat="1" applyFont="1" applyFill="1" applyBorder="1" applyAlignment="1" applyProtection="1">
      <alignment horizontal="right" vertical="center" shrinkToFit="1"/>
      <protection locked="0"/>
    </xf>
    <xf numFmtId="176" fontId="32" fillId="5" borderId="10" xfId="2" applyNumberFormat="1" applyFont="1" applyFill="1" applyBorder="1" applyAlignment="1" applyProtection="1">
      <alignment horizontal="right" vertical="center" shrinkToFit="1"/>
      <protection locked="0"/>
    </xf>
    <xf numFmtId="178" fontId="5" fillId="4" borderId="10" xfId="0" applyNumberFormat="1" applyFont="1" applyFill="1" applyBorder="1" applyAlignment="1" applyProtection="1">
      <alignment horizontal="right" vertical="center" shrinkToFit="1"/>
    </xf>
    <xf numFmtId="176" fontId="10" fillId="4" borderId="10" xfId="0" applyNumberFormat="1" applyFont="1" applyFill="1" applyBorder="1" applyAlignment="1" applyProtection="1">
      <alignment horizontal="right" vertical="center" shrinkToFit="1"/>
    </xf>
    <xf numFmtId="183" fontId="5" fillId="4" borderId="10" xfId="0" applyNumberFormat="1" applyFont="1" applyFill="1" applyBorder="1" applyAlignment="1" applyProtection="1">
      <alignment horizontal="right" vertical="center" shrinkToFit="1"/>
    </xf>
    <xf numFmtId="181" fontId="5" fillId="0" borderId="10" xfId="0" applyNumberFormat="1" applyFont="1" applyFill="1" applyBorder="1" applyAlignment="1" applyProtection="1">
      <alignment vertical="center" shrinkToFit="1"/>
    </xf>
    <xf numFmtId="178" fontId="5" fillId="0" borderId="9" xfId="0" applyNumberFormat="1" applyFont="1" applyFill="1" applyBorder="1" applyAlignment="1" applyProtection="1">
      <alignment vertical="center" shrinkToFit="1"/>
    </xf>
    <xf numFmtId="188" fontId="5" fillId="0" borderId="9" xfId="0" applyNumberFormat="1" applyFont="1" applyBorder="1" applyAlignment="1" applyProtection="1">
      <alignment horizontal="right" vertical="center" shrinkToFit="1"/>
    </xf>
    <xf numFmtId="177" fontId="5" fillId="4" borderId="10" xfId="0" applyNumberFormat="1" applyFont="1" applyFill="1" applyBorder="1" applyAlignment="1" applyProtection="1">
      <alignment horizontal="right" vertical="center" shrinkToFit="1"/>
    </xf>
    <xf numFmtId="189" fontId="30" fillId="4" borderId="9" xfId="0" applyNumberFormat="1" applyFont="1" applyFill="1" applyBorder="1" applyAlignment="1" applyProtection="1">
      <alignment horizontal="right" vertical="center" shrinkToFit="1"/>
    </xf>
    <xf numFmtId="188" fontId="5" fillId="4" borderId="9" xfId="0" applyNumberFormat="1" applyFont="1" applyFill="1" applyBorder="1" applyAlignment="1" applyProtection="1">
      <alignment vertical="center" shrinkToFit="1"/>
    </xf>
    <xf numFmtId="181" fontId="5" fillId="0" borderId="14" xfId="0" applyNumberFormat="1" applyFont="1" applyFill="1" applyBorder="1" applyAlignment="1" applyProtection="1">
      <alignment vertical="center" shrinkToFit="1"/>
    </xf>
    <xf numFmtId="0" fontId="5" fillId="4" borderId="0" xfId="0" applyFont="1" applyFill="1" applyBorder="1" applyAlignment="1" applyProtection="1">
      <alignment horizontal="justify" vertical="center" shrinkToFit="1"/>
    </xf>
    <xf numFmtId="177" fontId="5" fillId="4" borderId="9" xfId="0" applyNumberFormat="1" applyFont="1" applyFill="1" applyBorder="1" applyAlignment="1" applyProtection="1">
      <alignment horizontal="right" vertical="center" shrinkToFit="1"/>
    </xf>
    <xf numFmtId="181" fontId="5" fillId="4" borderId="10" xfId="0" applyNumberFormat="1" applyFont="1" applyFill="1" applyBorder="1" applyAlignment="1" applyProtection="1">
      <alignment horizontal="right" vertical="center" shrinkToFit="1"/>
    </xf>
    <xf numFmtId="181" fontId="5" fillId="4" borderId="18" xfId="0" applyNumberFormat="1" applyFont="1" applyFill="1" applyBorder="1" applyAlignment="1" applyProtection="1">
      <alignment horizontal="right" vertical="center" shrinkToFit="1"/>
    </xf>
    <xf numFmtId="183" fontId="5" fillId="4" borderId="0" xfId="0" applyNumberFormat="1" applyFont="1" applyFill="1" applyBorder="1" applyAlignment="1" applyProtection="1">
      <alignment vertical="center" shrinkToFit="1"/>
    </xf>
    <xf numFmtId="183" fontId="5" fillId="4" borderId="10" xfId="0" applyNumberFormat="1" applyFont="1" applyFill="1" applyBorder="1" applyAlignment="1" applyProtection="1">
      <alignment vertical="center" shrinkToFit="1"/>
    </xf>
    <xf numFmtId="177" fontId="5" fillId="4" borderId="10" xfId="0" applyNumberFormat="1" applyFont="1" applyFill="1" applyBorder="1" applyAlignment="1" applyProtection="1">
      <alignment vertical="center" shrinkToFit="1"/>
    </xf>
    <xf numFmtId="178" fontId="5" fillId="0" borderId="10" xfId="0" applyNumberFormat="1" applyFont="1" applyFill="1" applyBorder="1" applyAlignment="1" applyProtection="1">
      <alignment horizontal="right" vertical="center" shrinkToFit="1"/>
    </xf>
    <xf numFmtId="178" fontId="5" fillId="0" borderId="9" xfId="0" applyNumberFormat="1" applyFont="1" applyBorder="1" applyAlignment="1" applyProtection="1">
      <alignment horizontal="right" vertical="center" shrinkToFit="1"/>
    </xf>
    <xf numFmtId="188" fontId="5" fillId="0" borderId="9" xfId="0" applyNumberFormat="1" applyFont="1" applyBorder="1" applyAlignment="1" applyProtection="1">
      <alignment vertical="center" shrinkToFit="1"/>
    </xf>
    <xf numFmtId="180" fontId="5" fillId="4" borderId="0" xfId="0" applyNumberFormat="1" applyFont="1" applyFill="1" applyBorder="1" applyAlignment="1" applyProtection="1">
      <alignment vertical="center" shrinkToFit="1"/>
    </xf>
    <xf numFmtId="179" fontId="5" fillId="4" borderId="0" xfId="0" applyNumberFormat="1" applyFont="1" applyFill="1" applyBorder="1" applyAlignment="1" applyProtection="1">
      <alignment vertical="center" shrinkToFit="1"/>
    </xf>
    <xf numFmtId="180" fontId="14" fillId="4" borderId="9" xfId="0" applyNumberFormat="1" applyFont="1" applyFill="1" applyBorder="1" applyAlignment="1" applyProtection="1">
      <alignment horizontal="right" vertical="center" shrinkToFit="1"/>
    </xf>
    <xf numFmtId="180" fontId="5" fillId="4" borderId="10" xfId="0" applyNumberFormat="1" applyFont="1" applyFill="1" applyBorder="1" applyAlignment="1" applyProtection="1">
      <alignment horizontal="right" vertical="center" shrinkToFit="1"/>
    </xf>
    <xf numFmtId="187" fontId="5" fillId="4" borderId="0" xfId="0" applyNumberFormat="1" applyFont="1" applyFill="1" applyBorder="1" applyAlignment="1" applyProtection="1">
      <alignment horizontal="right" vertical="center" shrinkToFit="1"/>
    </xf>
    <xf numFmtId="180" fontId="5" fillId="4" borderId="0" xfId="0" applyNumberFormat="1" applyFont="1" applyFill="1" applyBorder="1" applyAlignment="1" applyProtection="1">
      <alignment horizontal="right" vertical="center" shrinkToFit="1"/>
    </xf>
    <xf numFmtId="184" fontId="14" fillId="4" borderId="9" xfId="0" applyNumberFormat="1" applyFont="1" applyFill="1" applyBorder="1" applyAlignment="1" applyProtection="1">
      <alignment horizontal="right" vertical="center" shrinkToFit="1"/>
    </xf>
    <xf numFmtId="0" fontId="0" fillId="4" borderId="0" xfId="0" applyFill="1" applyBorder="1" applyAlignment="1" applyProtection="1">
      <alignment horizontal="right" vertical="center"/>
    </xf>
    <xf numFmtId="184" fontId="5" fillId="4" borderId="0" xfId="0" applyNumberFormat="1" applyFont="1" applyFill="1" applyBorder="1" applyAlignment="1" applyProtection="1">
      <alignment horizontal="right" vertical="center"/>
    </xf>
    <xf numFmtId="177" fontId="5" fillId="0" borderId="10" xfId="0" applyNumberFormat="1" applyFont="1" applyBorder="1" applyAlignment="1" applyProtection="1">
      <alignment horizontal="right" vertical="center" shrinkToFit="1"/>
    </xf>
    <xf numFmtId="178" fontId="14" fillId="0" borderId="80" xfId="0" applyNumberFormat="1" applyFont="1" applyBorder="1" applyAlignment="1" applyProtection="1">
      <alignment horizontal="right" vertical="center" shrinkToFit="1"/>
    </xf>
    <xf numFmtId="177" fontId="14" fillId="4" borderId="9" xfId="0" applyNumberFormat="1" applyFont="1" applyFill="1" applyBorder="1" applyAlignment="1" applyProtection="1">
      <alignment horizontal="right" vertical="center" shrinkToFit="1"/>
    </xf>
    <xf numFmtId="179" fontId="14" fillId="4" borderId="9" xfId="0" applyNumberFormat="1" applyFont="1" applyFill="1" applyBorder="1" applyAlignment="1" applyProtection="1">
      <alignment horizontal="right" vertical="center" shrinkToFit="1"/>
    </xf>
    <xf numFmtId="0" fontId="5" fillId="7" borderId="24" xfId="0" applyFont="1" applyFill="1" applyBorder="1" applyAlignment="1" applyProtection="1">
      <alignment horizontal="right" vertical="center" shrinkToFit="1"/>
    </xf>
    <xf numFmtId="186" fontId="7" fillId="0" borderId="13" xfId="0" applyNumberFormat="1" applyFont="1" applyBorder="1" applyAlignment="1" applyProtection="1">
      <alignment horizontal="right" vertical="center" shrinkToFit="1"/>
    </xf>
    <xf numFmtId="180" fontId="7" fillId="0" borderId="29" xfId="0" applyNumberFormat="1" applyFont="1" applyBorder="1" applyAlignment="1" applyProtection="1">
      <alignment horizontal="right" vertical="center" shrinkToFit="1"/>
    </xf>
    <xf numFmtId="180" fontId="7" fillId="4" borderId="24" xfId="0" applyNumberFormat="1" applyFont="1" applyFill="1" applyBorder="1" applyAlignment="1" applyProtection="1">
      <alignment horizontal="right" vertical="center" shrinkToFit="1"/>
    </xf>
    <xf numFmtId="178" fontId="7" fillId="0" borderId="88" xfId="0" applyNumberFormat="1" applyFont="1" applyBorder="1" applyAlignment="1" applyProtection="1">
      <alignment horizontal="right" vertical="center" shrinkToFit="1"/>
    </xf>
    <xf numFmtId="178" fontId="7" fillId="0" borderId="13" xfId="0" applyNumberFormat="1" applyFont="1" applyBorder="1" applyAlignment="1" applyProtection="1">
      <alignment horizontal="right" vertical="center" shrinkToFit="1"/>
    </xf>
    <xf numFmtId="178" fontId="7" fillId="0" borderId="87" xfId="0" applyNumberFormat="1" applyFont="1" applyFill="1" applyBorder="1" applyAlignment="1" applyProtection="1">
      <alignment horizontal="right" vertical="center" shrinkToFit="1"/>
    </xf>
    <xf numFmtId="178" fontId="7" fillId="0" borderId="23" xfId="0" applyNumberFormat="1" applyFont="1" applyFill="1" applyBorder="1" applyAlignment="1" applyProtection="1">
      <alignment horizontal="right" vertical="center" shrinkToFit="1"/>
    </xf>
    <xf numFmtId="178" fontId="7" fillId="0" borderId="88" xfId="0" applyNumberFormat="1" applyFont="1" applyFill="1" applyBorder="1" applyAlignment="1" applyProtection="1">
      <alignment horizontal="right" vertical="center" shrinkToFit="1"/>
    </xf>
    <xf numFmtId="178" fontId="7" fillId="0" borderId="13" xfId="0" applyNumberFormat="1" applyFont="1" applyFill="1" applyBorder="1" applyAlignment="1" applyProtection="1">
      <alignment horizontal="right" vertical="center" shrinkToFit="1"/>
    </xf>
    <xf numFmtId="180" fontId="7" fillId="0" borderId="29" xfId="0" applyNumberFormat="1" applyFont="1" applyFill="1" applyBorder="1" applyAlignment="1" applyProtection="1">
      <alignment horizontal="right" vertical="center" shrinkToFit="1"/>
    </xf>
    <xf numFmtId="180" fontId="7" fillId="0" borderId="25" xfId="0" applyNumberFormat="1" applyFont="1" applyFill="1" applyBorder="1" applyAlignment="1" applyProtection="1">
      <alignment horizontal="right" vertical="center" shrinkToFit="1"/>
    </xf>
    <xf numFmtId="177" fontId="4" fillId="0" borderId="9" xfId="0" applyNumberFormat="1" applyFont="1" applyFill="1" applyBorder="1" applyAlignment="1" applyProtection="1">
      <alignment horizontal="right" vertical="center" shrinkToFit="1"/>
    </xf>
    <xf numFmtId="177" fontId="6" fillId="4" borderId="0" xfId="0" applyNumberFormat="1" applyFont="1" applyFill="1" applyBorder="1" applyAlignment="1" applyProtection="1">
      <alignment horizontal="right" vertical="center" shrinkToFit="1"/>
    </xf>
    <xf numFmtId="0" fontId="0" fillId="4" borderId="92" xfId="0" applyFill="1" applyBorder="1" applyAlignment="1" applyProtection="1">
      <alignment vertical="center"/>
    </xf>
    <xf numFmtId="0" fontId="0" fillId="4" borderId="44" xfId="0" applyFill="1" applyBorder="1" applyAlignment="1" applyProtection="1">
      <alignment vertical="center"/>
    </xf>
    <xf numFmtId="180" fontId="4" fillId="4" borderId="24" xfId="0" applyNumberFormat="1" applyFont="1" applyFill="1" applyBorder="1" applyAlignment="1" applyProtection="1">
      <alignment horizontal="right" vertical="center" shrinkToFit="1"/>
      <protection locked="0"/>
    </xf>
    <xf numFmtId="180" fontId="4" fillId="2" borderId="25" xfId="0" applyNumberFormat="1" applyFont="1" applyFill="1" applyBorder="1" applyAlignment="1" applyProtection="1">
      <alignment horizontal="right" vertical="center" shrinkToFit="1"/>
      <protection locked="0"/>
    </xf>
    <xf numFmtId="180" fontId="4" fillId="4" borderId="26" xfId="0" applyNumberFormat="1" applyFont="1" applyFill="1" applyBorder="1" applyAlignment="1" applyProtection="1">
      <alignment horizontal="center" vertical="center" shrinkToFit="1"/>
      <protection locked="0"/>
    </xf>
    <xf numFmtId="180" fontId="4" fillId="4" borderId="27" xfId="0" applyNumberFormat="1" applyFont="1" applyFill="1" applyBorder="1" applyAlignment="1" applyProtection="1">
      <alignment horizontal="center" vertical="center" shrinkToFit="1"/>
      <protection locked="0"/>
    </xf>
    <xf numFmtId="0" fontId="12" fillId="4"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shrinkToFit="1"/>
      <protection locked="0"/>
    </xf>
    <xf numFmtId="0" fontId="27" fillId="4" borderId="0" xfId="0" applyFont="1" applyFill="1" applyBorder="1" applyAlignment="1" applyProtection="1">
      <alignment horizontal="center" vertical="center" shrinkToFit="1"/>
    </xf>
    <xf numFmtId="184" fontId="5" fillId="0" borderId="0" xfId="0" applyNumberFormat="1" applyFont="1" applyFill="1" applyBorder="1" applyAlignment="1" applyProtection="1">
      <alignment horizontal="right" vertical="center" shrinkToFit="1"/>
    </xf>
    <xf numFmtId="184" fontId="5" fillId="0" borderId="10" xfId="0" applyNumberFormat="1" applyFont="1" applyFill="1" applyBorder="1" applyAlignment="1" applyProtection="1">
      <alignment horizontal="right" vertical="center" shrinkToFit="1"/>
    </xf>
    <xf numFmtId="0" fontId="84" fillId="4" borderId="0" xfId="0" applyFont="1" applyFill="1" applyBorder="1" applyAlignment="1" applyProtection="1">
      <alignment horizontal="right" vertical="center"/>
    </xf>
    <xf numFmtId="184" fontId="12" fillId="4" borderId="0" xfId="0" applyNumberFormat="1" applyFont="1" applyFill="1" applyBorder="1" applyAlignment="1" applyProtection="1">
      <alignment vertical="center" shrinkToFit="1"/>
    </xf>
    <xf numFmtId="176" fontId="5" fillId="0" borderId="9" xfId="0" applyNumberFormat="1" applyFont="1" applyBorder="1" applyAlignment="1" applyProtection="1">
      <alignment horizontal="right" vertical="center" shrinkToFit="1"/>
    </xf>
    <xf numFmtId="176" fontId="5" fillId="4" borderId="10" xfId="0" applyNumberFormat="1" applyFont="1" applyFill="1" applyBorder="1" applyAlignment="1" applyProtection="1">
      <alignment horizontal="right" vertical="center"/>
    </xf>
    <xf numFmtId="0" fontId="5" fillId="0" borderId="22"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0" fillId="4" borderId="0" xfId="0" applyFill="1" applyBorder="1" applyAlignment="1" applyProtection="1">
      <alignment horizontal="left" vertical="center"/>
    </xf>
    <xf numFmtId="0" fontId="57" fillId="0" borderId="22" xfId="0" applyFont="1" applyFill="1" applyBorder="1" applyAlignment="1" applyProtection="1">
      <alignment horizontal="center" vertical="center"/>
    </xf>
    <xf numFmtId="0" fontId="57" fillId="0" borderId="23" xfId="0" applyFont="1" applyFill="1" applyBorder="1" applyAlignment="1" applyProtection="1">
      <alignment horizontal="center" vertical="center"/>
    </xf>
    <xf numFmtId="0" fontId="57" fillId="0" borderId="23" xfId="0" applyFont="1" applyBorder="1" applyAlignment="1" applyProtection="1">
      <alignment horizontal="center" vertical="center"/>
    </xf>
    <xf numFmtId="38" fontId="5" fillId="4" borderId="0" xfId="2" applyFont="1" applyFill="1" applyBorder="1" applyAlignment="1" applyProtection="1">
      <alignment horizontal="right" vertical="center" shrinkToFit="1"/>
    </xf>
    <xf numFmtId="0" fontId="12" fillId="4" borderId="0" xfId="0" applyFont="1" applyFill="1" applyBorder="1" applyAlignment="1" applyProtection="1">
      <alignment horizontal="left" vertical="center" shrinkToFit="1"/>
    </xf>
    <xf numFmtId="0" fontId="12" fillId="4" borderId="0" xfId="0" applyFont="1" applyFill="1" applyBorder="1" applyAlignment="1" applyProtection="1">
      <alignment horizontal="center" vertical="center" shrinkToFit="1"/>
    </xf>
    <xf numFmtId="0" fontId="12" fillId="4" borderId="1" xfId="0" applyFont="1" applyFill="1" applyBorder="1" applyAlignment="1" applyProtection="1">
      <alignment horizontal="center" vertical="center" shrinkToFit="1"/>
    </xf>
    <xf numFmtId="0" fontId="5" fillId="4" borderId="0" xfId="0" applyFont="1" applyFill="1" applyBorder="1" applyAlignment="1" applyProtection="1">
      <alignment vertical="center"/>
    </xf>
    <xf numFmtId="49" fontId="32" fillId="4" borderId="0" xfId="2" applyNumberFormat="1" applyFont="1" applyFill="1" applyBorder="1" applyAlignment="1" applyProtection="1">
      <alignment horizontal="left" vertical="top" wrapText="1"/>
    </xf>
    <xf numFmtId="0" fontId="5" fillId="4" borderId="0" xfId="0" applyFont="1" applyFill="1" applyBorder="1" applyAlignment="1" applyProtection="1">
      <alignment horizontal="left" vertical="top" wrapText="1"/>
    </xf>
    <xf numFmtId="0" fontId="11" fillId="4" borderId="0" xfId="0" applyFont="1" applyFill="1" applyBorder="1" applyAlignment="1" applyProtection="1">
      <alignment horizontal="left" vertical="center" shrinkToFit="1"/>
    </xf>
    <xf numFmtId="0" fontId="11" fillId="4" borderId="1" xfId="0" applyFont="1" applyFill="1" applyBorder="1" applyAlignment="1" applyProtection="1">
      <alignment horizontal="left" vertical="center" shrinkToFit="1"/>
    </xf>
    <xf numFmtId="0" fontId="5" fillId="4" borderId="0" xfId="0" applyFont="1" applyFill="1" applyBorder="1" applyAlignment="1" applyProtection="1">
      <alignment horizontal="left" vertical="top"/>
    </xf>
    <xf numFmtId="178" fontId="11" fillId="4" borderId="0" xfId="0" applyNumberFormat="1" applyFont="1" applyFill="1" applyBorder="1" applyAlignment="1" applyProtection="1">
      <alignment horizontal="center" vertical="center" shrinkToFit="1"/>
    </xf>
    <xf numFmtId="178" fontId="11" fillId="4" borderId="1" xfId="0" applyNumberFormat="1"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shrinkToFit="1"/>
    </xf>
    <xf numFmtId="0" fontId="11" fillId="4" borderId="1" xfId="0" applyFont="1" applyFill="1" applyBorder="1" applyAlignment="1" applyProtection="1">
      <alignment horizontal="center" vertical="center" shrinkToFit="1"/>
    </xf>
    <xf numFmtId="0" fontId="5" fillId="0" borderId="69" xfId="0" applyFont="1" applyBorder="1" applyAlignment="1" applyProtection="1">
      <alignment horizontal="center" vertical="center" shrinkToFit="1"/>
    </xf>
    <xf numFmtId="0" fontId="11" fillId="4" borderId="0" xfId="0" applyFont="1" applyFill="1" applyBorder="1" applyAlignment="1" applyProtection="1">
      <alignment vertical="center" shrinkToFit="1"/>
    </xf>
    <xf numFmtId="0" fontId="11" fillId="4" borderId="1" xfId="0" applyFont="1" applyFill="1" applyBorder="1" applyAlignment="1" applyProtection="1">
      <alignment vertical="center" shrinkToFit="1"/>
    </xf>
    <xf numFmtId="0" fontId="11" fillId="4" borderId="0" xfId="0" applyFont="1" applyFill="1" applyBorder="1" applyAlignment="1" applyProtection="1">
      <alignment horizontal="left" vertical="center"/>
    </xf>
    <xf numFmtId="0" fontId="11" fillId="4" borderId="1" xfId="0" applyFont="1" applyFill="1" applyBorder="1" applyAlignment="1" applyProtection="1">
      <alignment horizontal="left" vertical="center"/>
    </xf>
    <xf numFmtId="0" fontId="12" fillId="4" borderId="0" xfId="0" applyFont="1" applyFill="1" applyBorder="1" applyAlignment="1" applyProtection="1">
      <alignment vertical="center" shrinkToFit="1"/>
    </xf>
    <xf numFmtId="0" fontId="0" fillId="4" borderId="1" xfId="0" applyFill="1" applyBorder="1" applyAlignment="1" applyProtection="1">
      <alignment vertical="center" shrinkToFit="1"/>
    </xf>
    <xf numFmtId="0" fontId="12" fillId="4" borderId="0"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188" fontId="5" fillId="0" borderId="0" xfId="0" applyNumberFormat="1" applyFont="1" applyBorder="1" applyAlignment="1" applyProtection="1">
      <alignment horizontal="right" vertical="center" shrinkToFit="1"/>
    </xf>
    <xf numFmtId="188" fontId="5" fillId="4" borderId="0" xfId="0" applyNumberFormat="1" applyFont="1" applyFill="1" applyBorder="1" applyAlignment="1" applyProtection="1">
      <alignment vertical="center" shrinkToFit="1"/>
    </xf>
    <xf numFmtId="31" fontId="5" fillId="7" borderId="12" xfId="0" applyNumberFormat="1" applyFont="1" applyFill="1" applyBorder="1" applyAlignment="1" applyProtection="1">
      <alignment horizontal="center" vertical="center"/>
    </xf>
    <xf numFmtId="0" fontId="5" fillId="7" borderId="31" xfId="0" applyFont="1" applyFill="1" applyBorder="1" applyAlignment="1" applyProtection="1">
      <alignment horizontal="center" vertical="center"/>
    </xf>
    <xf numFmtId="31" fontId="5" fillId="0" borderId="24" xfId="0" applyNumberFormat="1" applyFont="1" applyBorder="1" applyAlignment="1" applyProtection="1">
      <alignment horizontal="center" vertical="center" shrinkToFit="1"/>
    </xf>
    <xf numFmtId="0" fontId="5" fillId="7" borderId="5" xfId="0" applyFont="1" applyFill="1" applyBorder="1" applyAlignment="1" applyProtection="1">
      <alignment horizontal="center" vertical="center"/>
    </xf>
    <xf numFmtId="0" fontId="0" fillId="0" borderId="10" xfId="0" applyFill="1" applyBorder="1" applyAlignment="1" applyProtection="1">
      <alignment horizontal="center" vertical="center" shrinkToFit="1"/>
    </xf>
    <xf numFmtId="49" fontId="32" fillId="4" borderId="1" xfId="2" applyNumberFormat="1" applyFont="1" applyFill="1" applyBorder="1" applyAlignment="1" applyProtection="1">
      <alignment vertical="justify" wrapText="1"/>
    </xf>
    <xf numFmtId="0" fontId="32" fillId="4" borderId="0" xfId="2" applyNumberFormat="1" applyFont="1" applyFill="1" applyBorder="1" applyAlignment="1" applyProtection="1">
      <alignment horizontal="left" vertical="top" wrapText="1"/>
    </xf>
    <xf numFmtId="49" fontId="32" fillId="0" borderId="1" xfId="2" applyNumberFormat="1" applyFont="1" applyBorder="1" applyAlignment="1" applyProtection="1">
      <alignment vertical="justify" wrapText="1"/>
    </xf>
    <xf numFmtId="49" fontId="45" fillId="4" borderId="0" xfId="2" applyNumberFormat="1" applyFont="1" applyFill="1" applyBorder="1" applyAlignment="1" applyProtection="1">
      <alignment horizontal="left" vertical="center" wrapText="1"/>
    </xf>
    <xf numFmtId="0" fontId="4" fillId="4" borderId="0" xfId="0" applyFont="1" applyFill="1" applyBorder="1" applyAlignment="1" applyProtection="1">
      <alignment horizontal="center" vertical="center" shrinkToFit="1"/>
    </xf>
    <xf numFmtId="49" fontId="16" fillId="4" borderId="0" xfId="2" applyNumberFormat="1" applyFont="1" applyFill="1" applyBorder="1" applyAlignment="1" applyProtection="1">
      <alignment vertical="center" wrapText="1"/>
    </xf>
    <xf numFmtId="49" fontId="32" fillId="4" borderId="0" xfId="2" applyNumberFormat="1" applyFont="1" applyFill="1" applyBorder="1" applyAlignment="1" applyProtection="1">
      <alignment horizontal="left" vertical="center" wrapText="1"/>
    </xf>
    <xf numFmtId="49" fontId="32" fillId="4" borderId="0" xfId="2" applyNumberFormat="1" applyFont="1" applyFill="1" applyBorder="1" applyAlignment="1" applyProtection="1">
      <alignment vertical="top" wrapText="1"/>
    </xf>
    <xf numFmtId="0" fontId="0" fillId="4" borderId="0" xfId="0" applyFill="1" applyBorder="1" applyAlignment="1" applyProtection="1">
      <alignment horizontal="left" vertical="center" wrapText="1"/>
    </xf>
    <xf numFmtId="49" fontId="34" fillId="4" borderId="0" xfId="2" applyNumberFormat="1" applyFont="1" applyFill="1" applyBorder="1" applyAlignment="1" applyProtection="1">
      <alignment horizontal="left" vertical="center" wrapText="1"/>
    </xf>
    <xf numFmtId="49" fontId="5" fillId="4" borderId="0" xfId="2" applyNumberFormat="1" applyFont="1" applyFill="1" applyBorder="1" applyAlignment="1" applyProtection="1">
      <alignment vertical="top" wrapText="1"/>
    </xf>
    <xf numFmtId="176" fontId="48" fillId="0" borderId="82" xfId="2" applyNumberFormat="1" applyFont="1" applyFill="1" applyBorder="1" applyAlignment="1" applyProtection="1">
      <alignment horizontal="right" vertical="center" shrinkToFit="1"/>
    </xf>
    <xf numFmtId="49" fontId="5" fillId="4" borderId="0" xfId="2" applyNumberFormat="1" applyFont="1" applyFill="1" applyBorder="1" applyAlignment="1" applyProtection="1">
      <alignment vertical="center" wrapText="1"/>
    </xf>
    <xf numFmtId="49" fontId="5" fillId="4" borderId="0" xfId="2" applyNumberFormat="1" applyFont="1" applyFill="1" applyBorder="1" applyAlignment="1" applyProtection="1">
      <alignment horizontal="left" vertical="center" wrapText="1"/>
    </xf>
    <xf numFmtId="49" fontId="5" fillId="4" borderId="0" xfId="2" applyNumberFormat="1" applyFont="1" applyFill="1" applyBorder="1" applyAlignment="1" applyProtection="1">
      <alignment horizontal="right" vertical="center" wrapText="1"/>
    </xf>
    <xf numFmtId="49" fontId="5" fillId="0" borderId="0" xfId="2" applyNumberFormat="1" applyFont="1" applyBorder="1" applyAlignment="1" applyProtection="1">
      <alignment horizontal="right" vertical="center" shrinkToFit="1"/>
    </xf>
    <xf numFmtId="0" fontId="0" fillId="4" borderId="0" xfId="0" applyFill="1" applyBorder="1" applyAlignment="1" applyProtection="1">
      <alignment vertical="center" wrapText="1"/>
    </xf>
    <xf numFmtId="49" fontId="34" fillId="4" borderId="0" xfId="2" applyNumberFormat="1" applyFont="1" applyFill="1" applyBorder="1" applyAlignment="1" applyProtection="1">
      <alignment horizontal="left" vertical="center" shrinkToFit="1"/>
    </xf>
    <xf numFmtId="176" fontId="32" fillId="0" borderId="10" xfId="2" applyNumberFormat="1" applyFont="1" applyFill="1" applyBorder="1" applyAlignment="1" applyProtection="1">
      <alignment horizontal="right" vertical="center" shrinkToFit="1"/>
    </xf>
    <xf numFmtId="176" fontId="32" fillId="0" borderId="0" xfId="2" applyNumberFormat="1" applyFont="1" applyFill="1" applyBorder="1" applyAlignment="1" applyProtection="1">
      <alignment horizontal="right" vertical="center" wrapText="1"/>
    </xf>
    <xf numFmtId="176" fontId="32" fillId="4" borderId="0" xfId="2" applyNumberFormat="1" applyFont="1" applyFill="1" applyBorder="1" applyAlignment="1" applyProtection="1">
      <alignment horizontal="right" vertical="center" wrapText="1"/>
    </xf>
    <xf numFmtId="0" fontId="6" fillId="0" borderId="0" xfId="0" applyFont="1" applyBorder="1" applyAlignment="1" applyProtection="1">
      <alignment vertical="center"/>
    </xf>
    <xf numFmtId="0" fontId="6" fillId="0" borderId="11" xfId="0" applyFont="1" applyBorder="1" applyAlignment="1" applyProtection="1">
      <alignment vertical="center"/>
    </xf>
    <xf numFmtId="178" fontId="32" fillId="4" borderId="0" xfId="2" applyNumberFormat="1" applyFont="1" applyFill="1" applyBorder="1" applyAlignment="1" applyProtection="1">
      <alignment horizontal="right" vertical="center" wrapText="1"/>
    </xf>
    <xf numFmtId="0" fontId="55" fillId="4" borderId="0" xfId="0" applyFont="1" applyFill="1" applyBorder="1" applyAlignment="1" applyProtection="1">
      <alignment vertical="center"/>
    </xf>
    <xf numFmtId="0" fontId="37" fillId="4" borderId="0" xfId="0" applyFont="1" applyFill="1" applyBorder="1" applyProtection="1">
      <alignment vertical="center"/>
    </xf>
    <xf numFmtId="0" fontId="5" fillId="4" borderId="1" xfId="0" applyFont="1" applyFill="1" applyBorder="1" applyAlignment="1" applyProtection="1">
      <alignment vertical="center"/>
    </xf>
    <xf numFmtId="0" fontId="5" fillId="0" borderId="0" xfId="0" applyFont="1" applyAlignment="1" applyProtection="1">
      <alignment vertical="center"/>
    </xf>
    <xf numFmtId="0" fontId="5" fillId="4" borderId="0" xfId="0" applyFont="1" applyFill="1" applyAlignment="1" applyProtection="1">
      <alignment vertical="center"/>
    </xf>
    <xf numFmtId="0" fontId="38" fillId="0" borderId="0" xfId="0" applyFont="1" applyProtection="1">
      <alignment vertical="center"/>
    </xf>
    <xf numFmtId="0" fontId="5" fillId="0" borderId="27" xfId="0" applyFont="1" applyBorder="1" applyProtection="1">
      <alignment vertical="center"/>
    </xf>
    <xf numFmtId="179" fontId="5" fillId="4" borderId="10" xfId="0" applyNumberFormat="1" applyFont="1" applyFill="1" applyBorder="1" applyAlignment="1" applyProtection="1">
      <alignment horizontal="right" vertical="center" shrinkToFit="1"/>
    </xf>
    <xf numFmtId="181" fontId="7" fillId="4" borderId="9" xfId="0" applyNumberFormat="1" applyFont="1" applyFill="1" applyBorder="1" applyAlignment="1" applyProtection="1">
      <alignment horizontal="right" vertical="center" shrinkToFit="1"/>
    </xf>
    <xf numFmtId="181" fontId="14" fillId="4" borderId="0" xfId="0" applyNumberFormat="1" applyFont="1" applyFill="1" applyBorder="1" applyAlignment="1" applyProtection="1">
      <alignment horizontal="center" vertical="center"/>
    </xf>
    <xf numFmtId="181" fontId="7" fillId="4" borderId="0" xfId="0" applyNumberFormat="1" applyFont="1" applyFill="1" applyBorder="1" applyAlignment="1" applyProtection="1">
      <alignment horizontal="center" vertical="center"/>
    </xf>
    <xf numFmtId="181" fontId="14" fillId="4" borderId="9" xfId="0" applyNumberFormat="1" applyFont="1" applyFill="1" applyBorder="1" applyAlignment="1" applyProtection="1">
      <alignment horizontal="right" vertical="center" shrinkToFit="1"/>
    </xf>
    <xf numFmtId="0" fontId="60" fillId="4" borderId="0" xfId="0" applyFont="1" applyFill="1" applyBorder="1" applyAlignment="1" applyProtection="1">
      <alignment vertical="center"/>
    </xf>
    <xf numFmtId="49" fontId="5" fillId="4" borderId="2" xfId="2" applyNumberFormat="1" applyFont="1" applyFill="1" applyBorder="1" applyAlignment="1" applyProtection="1">
      <alignment horizontal="left" vertical="center" wrapText="1"/>
    </xf>
    <xf numFmtId="0" fontId="0" fillId="4" borderId="2" xfId="0" applyFill="1" applyBorder="1" applyAlignment="1" applyProtection="1">
      <alignment vertical="center" wrapText="1"/>
    </xf>
    <xf numFmtId="49" fontId="5" fillId="4" borderId="2" xfId="2" applyNumberFormat="1" applyFont="1" applyFill="1" applyBorder="1" applyAlignment="1" applyProtection="1">
      <alignment horizontal="right" vertical="center"/>
    </xf>
    <xf numFmtId="176" fontId="32" fillId="4" borderId="2" xfId="2" applyNumberFormat="1" applyFont="1" applyFill="1" applyBorder="1" applyAlignment="1" applyProtection="1">
      <alignment horizontal="right" vertical="center" wrapText="1"/>
    </xf>
    <xf numFmtId="49" fontId="34" fillId="4" borderId="2" xfId="2" applyNumberFormat="1" applyFont="1" applyFill="1" applyBorder="1" applyAlignment="1" applyProtection="1">
      <alignment horizontal="left" vertical="center" wrapText="1"/>
    </xf>
    <xf numFmtId="49" fontId="5" fillId="0" borderId="46" xfId="2" applyNumberFormat="1" applyFont="1" applyBorder="1" applyAlignment="1" applyProtection="1">
      <alignment horizontal="left" vertical="center" wrapText="1"/>
    </xf>
    <xf numFmtId="0" fontId="0" fillId="0" borderId="46" xfId="0" applyBorder="1" applyAlignment="1" applyProtection="1">
      <alignment vertical="center" wrapText="1"/>
    </xf>
    <xf numFmtId="49" fontId="5" fillId="0" borderId="46" xfId="2" applyNumberFormat="1" applyFont="1" applyBorder="1" applyAlignment="1" applyProtection="1">
      <alignment horizontal="right" vertical="center"/>
    </xf>
    <xf numFmtId="176" fontId="32" fillId="0" borderId="46" xfId="2" applyNumberFormat="1" applyFont="1" applyFill="1" applyBorder="1" applyAlignment="1" applyProtection="1">
      <alignment horizontal="right" vertical="center" wrapText="1"/>
    </xf>
    <xf numFmtId="49" fontId="34" fillId="0" borderId="46" xfId="2" applyNumberFormat="1" applyFont="1" applyBorder="1" applyAlignment="1" applyProtection="1">
      <alignment horizontal="left" vertical="center" wrapText="1"/>
    </xf>
    <xf numFmtId="49" fontId="5" fillId="4" borderId="0" xfId="2" applyNumberFormat="1" applyFont="1" applyFill="1" applyBorder="1" applyAlignment="1" applyProtection="1">
      <alignment horizontal="right" vertical="center"/>
    </xf>
    <xf numFmtId="49" fontId="16" fillId="4" borderId="0" xfId="2" applyNumberFormat="1" applyFont="1" applyFill="1" applyBorder="1" applyAlignment="1" applyProtection="1">
      <alignment vertical="center"/>
    </xf>
    <xf numFmtId="49" fontId="32" fillId="4" borderId="0" xfId="2" applyNumberFormat="1" applyFont="1" applyFill="1" applyBorder="1" applyAlignment="1" applyProtection="1">
      <alignment horizontal="left" vertical="center"/>
    </xf>
    <xf numFmtId="49" fontId="55" fillId="4" borderId="0" xfId="2" applyNumberFormat="1" applyFont="1" applyFill="1" applyBorder="1" applyAlignment="1" applyProtection="1">
      <alignment horizontal="right" vertical="center"/>
    </xf>
    <xf numFmtId="176" fontId="32" fillId="0" borderId="10" xfId="2" applyNumberFormat="1" applyFont="1" applyFill="1" applyBorder="1" applyAlignment="1" applyProtection="1">
      <alignment vertical="center" shrinkToFit="1"/>
    </xf>
    <xf numFmtId="49" fontId="32" fillId="4" borderId="0" xfId="2" applyNumberFormat="1" applyFont="1" applyFill="1" applyBorder="1" applyAlignment="1" applyProtection="1">
      <alignment horizontal="left" vertical="center" shrinkToFit="1"/>
    </xf>
    <xf numFmtId="49" fontId="5" fillId="4" borderId="0" xfId="2" applyNumberFormat="1" applyFont="1" applyFill="1" applyBorder="1" applyAlignment="1" applyProtection="1">
      <alignment vertical="top"/>
    </xf>
    <xf numFmtId="49" fontId="5" fillId="4" borderId="0" xfId="2" applyNumberFormat="1" applyFont="1" applyFill="1" applyBorder="1" applyAlignment="1" applyProtection="1">
      <alignment vertical="center"/>
    </xf>
    <xf numFmtId="0" fontId="75" fillId="4" borderId="0" xfId="0" applyFont="1" applyFill="1" applyBorder="1" applyAlignment="1" applyProtection="1">
      <alignment vertical="center"/>
    </xf>
    <xf numFmtId="178" fontId="32" fillId="0" borderId="0" xfId="2" applyNumberFormat="1" applyFont="1" applyFill="1" applyBorder="1" applyAlignment="1" applyProtection="1">
      <alignment horizontal="right" vertical="center" wrapText="1"/>
    </xf>
    <xf numFmtId="176" fontId="32" fillId="4" borderId="10" xfId="2" applyNumberFormat="1" applyFont="1" applyFill="1" applyBorder="1" applyAlignment="1" applyProtection="1">
      <alignment vertical="center" shrinkToFit="1"/>
    </xf>
    <xf numFmtId="0" fontId="44" fillId="4" borderId="0" xfId="0" applyFont="1" applyFill="1" applyBorder="1" applyAlignment="1" applyProtection="1">
      <alignment horizontal="left" vertical="top" wrapText="1"/>
    </xf>
    <xf numFmtId="0" fontId="5" fillId="4" borderId="0" xfId="0" applyFont="1" applyFill="1" applyBorder="1" applyAlignment="1" applyProtection="1">
      <alignment horizontal="center" vertical="center" shrinkToFit="1"/>
      <protection locked="0"/>
    </xf>
    <xf numFmtId="0" fontId="31" fillId="0" borderId="82" xfId="0" applyFont="1" applyFill="1" applyBorder="1" applyAlignment="1" applyProtection="1">
      <alignment horizontal="center" vertical="center" shrinkToFit="1"/>
      <protection locked="0"/>
    </xf>
    <xf numFmtId="178" fontId="31" fillId="4" borderId="82" xfId="0" applyNumberFormat="1" applyFont="1" applyFill="1" applyBorder="1" applyAlignment="1" applyProtection="1">
      <alignment horizontal="right" vertical="center" shrinkToFit="1"/>
      <protection locked="0"/>
    </xf>
    <xf numFmtId="178" fontId="14" fillId="5" borderId="9" xfId="0" applyNumberFormat="1" applyFont="1" applyFill="1" applyBorder="1" applyAlignment="1" applyProtection="1">
      <alignment horizontal="right" vertical="center" shrinkToFit="1"/>
      <protection locked="0"/>
    </xf>
    <xf numFmtId="178" fontId="5" fillId="5" borderId="10" xfId="0" applyNumberFormat="1" applyFont="1" applyFill="1" applyBorder="1" applyAlignment="1" applyProtection="1">
      <alignment horizontal="right" vertical="center" shrinkToFit="1"/>
      <protection locked="0"/>
    </xf>
    <xf numFmtId="49" fontId="14" fillId="5" borderId="10" xfId="0" applyNumberFormat="1" applyFont="1" applyFill="1" applyBorder="1" applyAlignment="1" applyProtection="1">
      <alignment horizontal="right" vertical="center" shrinkToFit="1"/>
      <protection locked="0"/>
    </xf>
    <xf numFmtId="179" fontId="5" fillId="3" borderId="10" xfId="0" applyNumberFormat="1" applyFont="1" applyFill="1" applyBorder="1" applyAlignment="1" applyProtection="1">
      <alignment horizontal="center" vertical="center" shrinkToFit="1"/>
      <protection locked="0"/>
    </xf>
    <xf numFmtId="179" fontId="5" fillId="3" borderId="20" xfId="0" applyNumberFormat="1" applyFont="1" applyFill="1" applyBorder="1" applyAlignment="1" applyProtection="1">
      <alignment horizontal="center" vertical="center" shrinkToFit="1"/>
      <protection locked="0"/>
    </xf>
    <xf numFmtId="180" fontId="5" fillId="3" borderId="32" xfId="0" applyNumberFormat="1" applyFont="1" applyFill="1" applyBorder="1" applyAlignment="1" applyProtection="1">
      <alignment horizontal="center" vertical="center" shrinkToFit="1"/>
      <protection locked="0"/>
    </xf>
    <xf numFmtId="180" fontId="5" fillId="3" borderId="42" xfId="0" applyNumberFormat="1" applyFont="1" applyFill="1" applyBorder="1" applyAlignment="1" applyProtection="1">
      <alignment horizontal="center" vertical="center" shrinkToFit="1"/>
      <protection locked="0"/>
    </xf>
    <xf numFmtId="184" fontId="5" fillId="2" borderId="10" xfId="0" applyNumberFormat="1" applyFont="1" applyFill="1" applyBorder="1" applyAlignment="1" applyProtection="1">
      <alignment horizontal="right" vertical="center" shrinkToFit="1"/>
      <protection locked="0"/>
    </xf>
    <xf numFmtId="183" fontId="5" fillId="2" borderId="10" xfId="0" applyNumberFormat="1" applyFont="1" applyFill="1" applyBorder="1" applyAlignment="1" applyProtection="1">
      <alignment horizontal="right" vertical="center" shrinkToFit="1"/>
      <protection locked="0"/>
    </xf>
    <xf numFmtId="0" fontId="6" fillId="5" borderId="10" xfId="0" applyFont="1" applyFill="1" applyBorder="1" applyAlignment="1" applyProtection="1">
      <alignment horizontal="center" vertical="center" shrinkToFit="1"/>
      <protection locked="0"/>
    </xf>
    <xf numFmtId="178" fontId="5" fillId="5" borderId="25" xfId="0" applyNumberFormat="1" applyFont="1" applyFill="1" applyBorder="1" applyAlignment="1" applyProtection="1">
      <alignment horizontal="right" vertical="center" shrinkToFit="1"/>
      <protection locked="0"/>
    </xf>
    <xf numFmtId="178" fontId="5" fillId="2" borderId="25" xfId="0" applyNumberFormat="1" applyFont="1" applyFill="1" applyBorder="1" applyAlignment="1" applyProtection="1">
      <alignment horizontal="right" vertical="center" shrinkToFit="1"/>
      <protection locked="0"/>
    </xf>
    <xf numFmtId="183" fontId="5" fillId="5" borderId="10" xfId="0" applyNumberFormat="1" applyFont="1" applyFill="1" applyBorder="1" applyAlignment="1" applyProtection="1">
      <alignment horizontal="right" vertical="center" shrinkToFit="1"/>
      <protection locked="0"/>
    </xf>
    <xf numFmtId="183" fontId="40" fillId="5" borderId="10" xfId="0" applyNumberFormat="1" applyFont="1" applyFill="1" applyBorder="1" applyAlignment="1" applyProtection="1">
      <alignment horizontal="right" vertical="center" shrinkToFit="1"/>
      <protection locked="0"/>
    </xf>
    <xf numFmtId="184" fontId="5" fillId="5" borderId="10" xfId="0" applyNumberFormat="1" applyFont="1" applyFill="1" applyBorder="1" applyAlignment="1" applyProtection="1">
      <alignment vertical="center" shrinkToFit="1"/>
      <protection locked="0"/>
    </xf>
    <xf numFmtId="177" fontId="5" fillId="2" borderId="10" xfId="0" applyNumberFormat="1" applyFont="1" applyFill="1" applyBorder="1" applyAlignment="1" applyProtection="1">
      <alignment vertical="center" shrinkToFit="1"/>
      <protection locked="0"/>
    </xf>
    <xf numFmtId="0" fontId="11" fillId="4" borderId="29" xfId="0" applyFont="1" applyFill="1" applyBorder="1" applyAlignment="1" applyProtection="1">
      <alignment horizontal="center" vertical="center" wrapText="1"/>
    </xf>
    <xf numFmtId="0" fontId="11" fillId="4" borderId="30" xfId="0" applyFont="1" applyFill="1" applyBorder="1" applyAlignment="1" applyProtection="1">
      <alignment horizontal="center" vertical="center" wrapText="1"/>
    </xf>
    <xf numFmtId="0" fontId="11" fillId="4" borderId="83" xfId="0" applyFont="1" applyFill="1" applyBorder="1" applyAlignment="1" applyProtection="1">
      <alignment horizontal="center" vertical="center" wrapText="1"/>
    </xf>
    <xf numFmtId="0" fontId="11" fillId="4" borderId="86"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11" fillId="4" borderId="43" xfId="0" applyFont="1" applyFill="1" applyBorder="1" applyAlignment="1" applyProtection="1">
      <alignment horizontal="center" vertical="center" wrapText="1"/>
    </xf>
    <xf numFmtId="0" fontId="11" fillId="4" borderId="28" xfId="0" applyFont="1" applyFill="1" applyBorder="1" applyAlignment="1" applyProtection="1">
      <alignment horizontal="center" vertical="center" wrapText="1"/>
    </xf>
    <xf numFmtId="179" fontId="7" fillId="0" borderId="23" xfId="0" applyNumberFormat="1" applyFont="1" applyFill="1" applyBorder="1" applyAlignment="1" applyProtection="1">
      <alignment horizontal="right" vertical="center" shrinkToFit="1"/>
    </xf>
    <xf numFmtId="179" fontId="7" fillId="0" borderId="14" xfId="0" applyNumberFormat="1" applyFont="1" applyFill="1" applyBorder="1" applyAlignment="1" applyProtection="1">
      <alignment horizontal="right" vertical="center" shrinkToFit="1"/>
    </xf>
    <xf numFmtId="0" fontId="26" fillId="4" borderId="13" xfId="0" applyFont="1" applyFill="1" applyBorder="1" applyAlignment="1" applyProtection="1">
      <alignment horizontal="center" vertical="center" shrinkToFit="1"/>
    </xf>
    <xf numFmtId="0" fontId="26" fillId="4" borderId="1" xfId="0" applyFont="1" applyFill="1" applyBorder="1" applyAlignment="1" applyProtection="1">
      <alignment horizontal="center" vertical="center" shrinkToFit="1"/>
    </xf>
    <xf numFmtId="0" fontId="26" fillId="4" borderId="43" xfId="0" applyFont="1" applyFill="1" applyBorder="1" applyAlignment="1" applyProtection="1">
      <alignment horizontal="center" vertical="center" shrinkToFit="1"/>
    </xf>
    <xf numFmtId="0" fontId="26" fillId="4" borderId="28" xfId="0" applyFont="1" applyFill="1" applyBorder="1" applyAlignment="1" applyProtection="1">
      <alignment horizontal="center" vertical="center" shrinkToFit="1"/>
    </xf>
    <xf numFmtId="0" fontId="26" fillId="4" borderId="29" xfId="0" applyFont="1" applyFill="1" applyBorder="1" applyAlignment="1" applyProtection="1">
      <alignment horizontal="center" vertical="center" shrinkToFit="1"/>
    </xf>
    <xf numFmtId="0" fontId="26" fillId="4" borderId="30" xfId="0" applyFont="1" applyFill="1" applyBorder="1" applyAlignment="1" applyProtection="1">
      <alignment horizontal="center" vertical="center" shrinkToFit="1"/>
    </xf>
    <xf numFmtId="0" fontId="26" fillId="4" borderId="83" xfId="0" applyFont="1" applyFill="1" applyBorder="1" applyAlignment="1" applyProtection="1">
      <alignment horizontal="center" vertical="center" shrinkToFit="1"/>
    </xf>
    <xf numFmtId="0" fontId="26" fillId="4" borderId="86" xfId="0" applyFont="1" applyFill="1" applyBorder="1" applyAlignment="1" applyProtection="1">
      <alignment horizontal="center" vertical="center" shrinkToFit="1"/>
    </xf>
    <xf numFmtId="0" fontId="3" fillId="0" borderId="88" xfId="0" applyFont="1" applyBorder="1" applyAlignment="1" applyProtection="1">
      <alignment horizontal="center" vertical="center"/>
    </xf>
    <xf numFmtId="0" fontId="3" fillId="0" borderId="89"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22"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85" xfId="0" applyFont="1" applyFill="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177" fontId="7" fillId="0" borderId="14" xfId="0" applyNumberFormat="1" applyFont="1" applyBorder="1" applyAlignment="1" applyProtection="1">
      <alignment horizontal="right" vertical="center" shrinkToFit="1"/>
    </xf>
    <xf numFmtId="0" fontId="5" fillId="0" borderId="22" xfId="0" applyFont="1" applyBorder="1" applyAlignment="1" applyProtection="1">
      <alignment horizontal="center" vertical="center" shrinkToFit="1"/>
    </xf>
    <xf numFmtId="0" fontId="11" fillId="4" borderId="29" xfId="0" applyNumberFormat="1" applyFont="1" applyFill="1" applyBorder="1" applyAlignment="1" applyProtection="1">
      <alignment horizontal="center" vertical="center" wrapText="1"/>
    </xf>
    <xf numFmtId="0" fontId="11" fillId="4" borderId="30" xfId="0" applyNumberFormat="1" applyFont="1" applyFill="1" applyBorder="1" applyAlignment="1" applyProtection="1">
      <alignment horizontal="center" vertical="center" wrapText="1"/>
    </xf>
    <xf numFmtId="0" fontId="26" fillId="4" borderId="29" xfId="0" applyNumberFormat="1" applyFont="1" applyFill="1" applyBorder="1" applyAlignment="1" applyProtection="1">
      <alignment horizontal="center" vertical="center" wrapText="1"/>
    </xf>
    <xf numFmtId="0" fontId="26" fillId="4" borderId="30" xfId="0" applyNumberFormat="1" applyFont="1" applyFill="1" applyBorder="1" applyAlignment="1" applyProtection="1">
      <alignment horizontal="center" vertical="center" wrapText="1"/>
    </xf>
    <xf numFmtId="177" fontId="7" fillId="0" borderId="22" xfId="0" applyNumberFormat="1" applyFont="1" applyBorder="1" applyAlignment="1" applyProtection="1">
      <alignment horizontal="right" vertical="center" shrinkToFit="1"/>
    </xf>
    <xf numFmtId="177" fontId="7" fillId="0" borderId="23" xfId="0" applyNumberFormat="1" applyFont="1" applyBorder="1" applyAlignment="1" applyProtection="1">
      <alignment horizontal="right" vertical="center" shrinkToFit="1"/>
    </xf>
    <xf numFmtId="194" fontId="26" fillId="0" borderId="43" xfId="0" applyNumberFormat="1" applyFont="1" applyBorder="1" applyAlignment="1" applyProtection="1">
      <alignment horizontal="center" vertical="center"/>
    </xf>
    <xf numFmtId="194" fontId="26" fillId="0" borderId="28" xfId="0" applyNumberFormat="1" applyFont="1" applyBorder="1" applyAlignment="1" applyProtection="1">
      <alignment horizontal="center" vertical="center"/>
    </xf>
    <xf numFmtId="0" fontId="5" fillId="0" borderId="39"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180" fontId="4" fillId="0" borderId="60" xfId="0" applyNumberFormat="1" applyFont="1" applyFill="1" applyBorder="1" applyAlignment="1" applyProtection="1">
      <alignment horizontal="center" vertical="center" shrinkToFit="1"/>
      <protection locked="0"/>
    </xf>
    <xf numFmtId="180" fontId="4" fillId="0" borderId="61" xfId="0" applyNumberFormat="1"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xf>
    <xf numFmtId="0" fontId="5" fillId="2" borderId="49"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xf>
    <xf numFmtId="196" fontId="5" fillId="2" borderId="24" xfId="0" applyNumberFormat="1" applyFont="1" applyFill="1" applyBorder="1" applyAlignment="1" applyProtection="1">
      <alignment horizontal="left" vertical="center" shrinkToFit="1"/>
      <protection locked="0"/>
    </xf>
    <xf numFmtId="196" fontId="0" fillId="0" borderId="27" xfId="0" applyNumberFormat="1" applyBorder="1" applyAlignment="1" applyProtection="1">
      <alignment horizontal="left" vertical="center" shrinkToFit="1"/>
      <protection locked="0"/>
    </xf>
    <xf numFmtId="196" fontId="5" fillId="2" borderId="25" xfId="0" applyNumberFormat="1" applyFont="1" applyFill="1" applyBorder="1" applyAlignment="1" applyProtection="1">
      <alignment horizontal="right" vertical="center" shrinkToFit="1"/>
      <protection locked="0"/>
    </xf>
    <xf numFmtId="196" fontId="5" fillId="2" borderId="24" xfId="0" applyNumberFormat="1" applyFont="1" applyFill="1" applyBorder="1" applyAlignment="1" applyProtection="1">
      <alignment horizontal="right" vertical="center" shrinkToFit="1"/>
      <protection locked="0"/>
    </xf>
    <xf numFmtId="0" fontId="0" fillId="7" borderId="21" xfId="0" applyFont="1" applyFill="1" applyBorder="1" applyAlignment="1" applyProtection="1">
      <alignment horizontal="center" vertical="center" wrapText="1"/>
    </xf>
    <xf numFmtId="0" fontId="0" fillId="7" borderId="34" xfId="0" applyFont="1" applyFill="1" applyBorder="1" applyAlignment="1" applyProtection="1">
      <alignment horizontal="center" vertical="center" wrapText="1"/>
    </xf>
    <xf numFmtId="0" fontId="0" fillId="7" borderId="35" xfId="0" applyFont="1" applyFill="1" applyBorder="1" applyAlignment="1" applyProtection="1">
      <alignment horizontal="center" vertical="center" wrapText="1"/>
    </xf>
    <xf numFmtId="0" fontId="0" fillId="0" borderId="23"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25"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5" fillId="4" borderId="24" xfId="0" applyFont="1" applyFill="1" applyBorder="1" applyAlignment="1" applyProtection="1">
      <alignment horizontal="left" vertical="center" shrinkToFit="1"/>
    </xf>
    <xf numFmtId="0" fontId="12" fillId="0" borderId="25" xfId="0" applyFont="1" applyBorder="1" applyAlignment="1" applyProtection="1">
      <alignment horizontal="center" vertical="center" shrinkToFit="1"/>
    </xf>
    <xf numFmtId="0" fontId="12" fillId="0" borderId="27" xfId="0" applyFont="1" applyBorder="1" applyAlignment="1" applyProtection="1">
      <alignment horizontal="center" vertical="center" shrinkToFit="1"/>
    </xf>
    <xf numFmtId="180" fontId="4" fillId="0" borderId="24" xfId="0" applyNumberFormat="1" applyFont="1" applyFill="1" applyBorder="1" applyAlignment="1" applyProtection="1">
      <alignment horizontal="center" vertical="center" shrinkToFit="1"/>
      <protection locked="0"/>
    </xf>
    <xf numFmtId="180" fontId="4" fillId="0" borderId="27" xfId="0" applyNumberFormat="1" applyFont="1" applyFill="1" applyBorder="1" applyAlignment="1" applyProtection="1">
      <alignment horizontal="center" vertical="center" shrinkToFit="1"/>
      <protection locked="0"/>
    </xf>
    <xf numFmtId="0" fontId="57" fillId="0" borderId="22" xfId="0" applyFont="1" applyBorder="1" applyAlignment="1" applyProtection="1">
      <alignment horizontal="center" vertical="center"/>
    </xf>
    <xf numFmtId="0" fontId="57" fillId="0" borderId="85" xfId="0" applyFont="1" applyBorder="1" applyAlignment="1" applyProtection="1">
      <alignment horizontal="center" vertical="center"/>
    </xf>
    <xf numFmtId="177" fontId="7" fillId="0" borderId="10" xfId="0" applyNumberFormat="1" applyFont="1" applyBorder="1" applyAlignment="1" applyProtection="1">
      <alignment horizontal="right" vertical="center" shrinkToFit="1"/>
    </xf>
    <xf numFmtId="177" fontId="7" fillId="0" borderId="85" xfId="0" applyNumberFormat="1" applyFont="1" applyBorder="1" applyAlignment="1" applyProtection="1">
      <alignment horizontal="right" vertical="center" shrinkToFit="1"/>
    </xf>
    <xf numFmtId="0" fontId="5" fillId="0" borderId="29"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0" fillId="4" borderId="91" xfId="0" applyFill="1" applyBorder="1" applyAlignment="1" applyProtection="1">
      <alignment horizontal="left" vertical="center"/>
    </xf>
    <xf numFmtId="0" fontId="0" fillId="4" borderId="92" xfId="0" applyFill="1" applyBorder="1" applyAlignment="1" applyProtection="1">
      <alignment horizontal="left" vertical="center"/>
    </xf>
    <xf numFmtId="0" fontId="0" fillId="4" borderId="13" xfId="0" applyFill="1" applyBorder="1" applyAlignment="1" applyProtection="1">
      <alignment horizontal="left" vertical="center"/>
    </xf>
    <xf numFmtId="0" fontId="0" fillId="4" borderId="0" xfId="0" applyFill="1" applyBorder="1" applyAlignment="1" applyProtection="1">
      <alignment horizontal="left" vertical="center"/>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0" fillId="7" borderId="33" xfId="0" applyFont="1" applyFill="1" applyBorder="1" applyAlignment="1" applyProtection="1">
      <alignment horizontal="center" vertical="center" wrapText="1"/>
    </xf>
    <xf numFmtId="0" fontId="0" fillId="7" borderId="31" xfId="0" applyFont="1" applyFill="1" applyBorder="1" applyAlignment="1" applyProtection="1">
      <alignment horizontal="center" vertical="center" wrapText="1"/>
    </xf>
    <xf numFmtId="0" fontId="5" fillId="0" borderId="27"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2" fillId="4" borderId="25" xfId="0" applyFont="1" applyFill="1" applyBorder="1" applyAlignment="1" applyProtection="1">
      <alignment horizontal="center" vertical="center" shrinkToFit="1"/>
    </xf>
    <xf numFmtId="0" fontId="12" fillId="4" borderId="24" xfId="0" applyFont="1" applyFill="1" applyBorder="1" applyAlignment="1" applyProtection="1">
      <alignment horizontal="center" vertical="center" shrinkToFit="1"/>
    </xf>
    <xf numFmtId="0" fontId="4" fillId="5" borderId="24" xfId="0" applyFont="1" applyFill="1" applyBorder="1" applyAlignment="1" applyProtection="1">
      <alignment horizontal="center" vertical="center" shrinkToFit="1"/>
      <protection locked="0"/>
    </xf>
    <xf numFmtId="0" fontId="4" fillId="5" borderId="27" xfId="0" applyFont="1" applyFill="1" applyBorder="1" applyAlignment="1" applyProtection="1">
      <alignment horizontal="center" vertical="center" shrinkToFit="1"/>
      <protection locked="0"/>
    </xf>
    <xf numFmtId="0" fontId="0" fillId="4" borderId="0" xfId="0" applyFill="1" applyBorder="1" applyAlignment="1" applyProtection="1">
      <alignment vertical="center"/>
      <protection locked="0"/>
    </xf>
    <xf numFmtId="0" fontId="0" fillId="2" borderId="37" xfId="0" applyFill="1" applyBorder="1" applyAlignment="1" applyProtection="1">
      <alignment horizontal="center" vertical="center" wrapText="1"/>
      <protection locked="0"/>
    </xf>
    <xf numFmtId="0" fontId="0" fillId="2" borderId="15"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28" xfId="0" applyBorder="1" applyAlignment="1" applyProtection="1">
      <alignment vertical="center" wrapText="1"/>
      <protection locked="0"/>
    </xf>
    <xf numFmtId="31" fontId="5" fillId="0" borderId="47" xfId="0" applyNumberFormat="1" applyFont="1" applyBorder="1" applyAlignment="1" applyProtection="1">
      <alignment horizontal="center" vertical="center"/>
    </xf>
    <xf numFmtId="0" fontId="0" fillId="0" borderId="14" xfId="0" applyBorder="1" applyAlignment="1" applyProtection="1">
      <alignment horizontal="center" vertical="center"/>
    </xf>
    <xf numFmtId="0" fontId="27" fillId="2" borderId="25" xfId="0" applyFont="1" applyFill="1" applyBorder="1" applyAlignment="1" applyProtection="1">
      <alignment horizontal="center" vertical="center" shrinkToFit="1"/>
      <protection locked="0"/>
    </xf>
    <xf numFmtId="0" fontId="27" fillId="2" borderId="26" xfId="0" applyFont="1" applyFill="1" applyBorder="1" applyAlignment="1" applyProtection="1">
      <alignment horizontal="center" vertical="center" shrinkToFit="1"/>
      <protection locked="0"/>
    </xf>
    <xf numFmtId="0" fontId="5" fillId="5" borderId="52" xfId="0" applyFont="1" applyFill="1" applyBorder="1" applyAlignment="1" applyProtection="1">
      <alignment horizontal="left" vertical="center" wrapText="1"/>
      <protection locked="0"/>
    </xf>
    <xf numFmtId="0" fontId="5" fillId="5" borderId="60" xfId="0" applyFont="1"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5" borderId="53" xfId="0" applyFill="1" applyBorder="1" applyAlignment="1" applyProtection="1">
      <alignment horizontal="left" vertical="center" wrapText="1"/>
      <protection locked="0"/>
    </xf>
    <xf numFmtId="31" fontId="0" fillId="2" borderId="49" xfId="0" applyNumberFormat="1" applyFont="1" applyFill="1" applyBorder="1" applyAlignment="1" applyProtection="1">
      <alignment horizontal="center" vertical="center" shrinkToFit="1"/>
      <protection locked="0"/>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5" fillId="0" borderId="85" xfId="0" applyFont="1" applyBorder="1" applyAlignment="1" applyProtection="1">
      <alignment horizontal="center" vertical="center" shrinkToFit="1"/>
    </xf>
    <xf numFmtId="185" fontId="5" fillId="2" borderId="25" xfId="0" applyNumberFormat="1" applyFont="1" applyFill="1" applyBorder="1" applyAlignment="1" applyProtection="1">
      <alignment horizontal="center" vertical="center" shrinkToFit="1"/>
      <protection locked="0"/>
    </xf>
    <xf numFmtId="185" fontId="5" fillId="2" borderId="26" xfId="0" applyNumberFormat="1" applyFont="1" applyFill="1" applyBorder="1" applyAlignment="1" applyProtection="1">
      <alignment horizontal="center" vertical="center" shrinkToFit="1"/>
      <protection locked="0"/>
    </xf>
    <xf numFmtId="0" fontId="13" fillId="6" borderId="62" xfId="0" applyFont="1" applyFill="1" applyBorder="1" applyAlignment="1" applyProtection="1">
      <alignment horizontal="center" vertical="center"/>
    </xf>
    <xf numFmtId="0" fontId="13" fillId="6" borderId="46" xfId="0" applyFont="1" applyFill="1" applyBorder="1" applyAlignment="1" applyProtection="1">
      <alignment horizontal="center" vertical="center"/>
    </xf>
    <xf numFmtId="0" fontId="13" fillId="6" borderId="72" xfId="0" applyFont="1" applyFill="1" applyBorder="1" applyAlignment="1" applyProtection="1">
      <alignment horizontal="center" vertical="center"/>
    </xf>
    <xf numFmtId="0" fontId="5" fillId="2" borderId="14" xfId="0" applyFont="1" applyFill="1" applyBorder="1" applyAlignment="1" applyProtection="1">
      <alignment horizontal="center" vertical="center" shrinkToFit="1"/>
      <protection locked="0"/>
    </xf>
    <xf numFmtId="0" fontId="5" fillId="2" borderId="71"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wrapText="1" shrinkToFit="1"/>
      <protection locked="0"/>
    </xf>
    <xf numFmtId="0" fontId="9" fillId="5" borderId="0" xfId="0" applyFont="1" applyFill="1" applyBorder="1" applyAlignment="1" applyProtection="1">
      <alignment horizontal="center" vertical="center" wrapText="1" shrinkToFit="1"/>
      <protection locked="0"/>
    </xf>
    <xf numFmtId="0" fontId="9" fillId="5" borderId="11" xfId="0" applyFont="1" applyFill="1" applyBorder="1" applyAlignment="1" applyProtection="1">
      <alignment horizontal="center" vertical="center" wrapText="1" shrinkToFit="1"/>
      <protection locked="0"/>
    </xf>
    <xf numFmtId="0" fontId="9" fillId="5" borderId="43" xfId="0" applyFont="1" applyFill="1" applyBorder="1" applyAlignment="1" applyProtection="1">
      <alignment horizontal="center" vertical="center" wrapText="1" shrinkToFit="1"/>
      <protection locked="0"/>
    </xf>
    <xf numFmtId="0" fontId="9" fillId="5" borderId="44" xfId="0" applyFont="1" applyFill="1" applyBorder="1" applyAlignment="1" applyProtection="1">
      <alignment horizontal="center" vertical="center" wrapText="1" shrinkToFit="1"/>
      <protection locked="0"/>
    </xf>
    <xf numFmtId="0" fontId="9" fillId="5" borderId="19" xfId="0" applyFont="1" applyFill="1" applyBorder="1" applyAlignment="1" applyProtection="1">
      <alignment horizontal="center" vertical="center" wrapText="1" shrinkToFit="1"/>
      <protection locked="0"/>
    </xf>
    <xf numFmtId="0" fontId="14" fillId="2" borderId="29"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38" xfId="0" applyFont="1" applyFill="1" applyBorder="1" applyAlignment="1" applyProtection="1">
      <alignment horizontal="center" vertical="center" shrinkToFit="1"/>
      <protection locked="0"/>
    </xf>
    <xf numFmtId="0" fontId="0" fillId="0" borderId="48" xfId="0" applyBorder="1" applyAlignment="1" applyProtection="1">
      <alignment horizontal="center" vertical="center"/>
    </xf>
    <xf numFmtId="0" fontId="14" fillId="2" borderId="25"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14" fillId="5" borderId="29" xfId="0" applyFont="1" applyFill="1" applyBorder="1" applyAlignment="1" applyProtection="1">
      <alignment horizontal="center" vertical="center" wrapText="1"/>
      <protection locked="0"/>
    </xf>
    <xf numFmtId="0" fontId="14" fillId="5" borderId="18" xfId="0" applyFont="1" applyFill="1" applyBorder="1" applyAlignment="1" applyProtection="1">
      <alignment horizontal="center" vertical="center" wrapText="1"/>
      <protection locked="0"/>
    </xf>
    <xf numFmtId="0" fontId="14" fillId="5" borderId="30"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180" fontId="4" fillId="5" borderId="60" xfId="0" applyNumberFormat="1" applyFont="1" applyFill="1" applyBorder="1" applyAlignment="1" applyProtection="1">
      <alignment horizontal="center" vertical="center" shrinkToFit="1"/>
      <protection locked="0"/>
    </xf>
    <xf numFmtId="180" fontId="4" fillId="5" borderId="53"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right" vertical="center" shrinkToFit="1"/>
      <protection locked="0"/>
    </xf>
    <xf numFmtId="176" fontId="4" fillId="2" borderId="24" xfId="0" applyNumberFormat="1" applyFont="1" applyFill="1" applyBorder="1" applyAlignment="1" applyProtection="1">
      <alignment horizontal="right" vertical="center" shrinkToFit="1"/>
      <protection locked="0"/>
    </xf>
    <xf numFmtId="0" fontId="11" fillId="0" borderId="43" xfId="0" applyFont="1" applyFill="1" applyBorder="1" applyAlignment="1" applyProtection="1">
      <alignment horizontal="center" vertical="center" shrinkToFit="1"/>
    </xf>
    <xf numFmtId="0" fontId="11" fillId="0" borderId="19" xfId="0" applyFont="1" applyBorder="1" applyAlignment="1" applyProtection="1">
      <alignment horizontal="center" vertical="center" shrinkToFit="1"/>
    </xf>
    <xf numFmtId="0" fontId="5" fillId="2" borderId="25"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180" fontId="4" fillId="5" borderId="24" xfId="0" applyNumberFormat="1" applyFont="1" applyFill="1" applyBorder="1" applyAlignment="1" applyProtection="1">
      <alignment horizontal="center" vertical="center" shrinkToFit="1"/>
      <protection locked="0"/>
    </xf>
    <xf numFmtId="180" fontId="4" fillId="5" borderId="26" xfId="0" applyNumberFormat="1" applyFont="1" applyFill="1" applyBorder="1" applyAlignment="1" applyProtection="1">
      <alignment horizontal="center" vertical="center" shrinkToFit="1"/>
      <protection locked="0"/>
    </xf>
    <xf numFmtId="0" fontId="28" fillId="4" borderId="29" xfId="0" applyFont="1" applyFill="1" applyBorder="1" applyAlignment="1" applyProtection="1">
      <alignment horizontal="center" vertical="center" wrapText="1"/>
    </xf>
    <xf numFmtId="0" fontId="28" fillId="4" borderId="30" xfId="0" applyFont="1" applyFill="1" applyBorder="1" applyAlignment="1" applyProtection="1">
      <alignment horizontal="center" vertical="center" wrapText="1"/>
    </xf>
    <xf numFmtId="0" fontId="0" fillId="0" borderId="43" xfId="0"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5" fillId="0" borderId="22" xfId="0" applyFont="1" applyFill="1" applyBorder="1" applyAlignment="1" applyProtection="1">
      <alignment horizontal="center" vertical="center"/>
    </xf>
    <xf numFmtId="180" fontId="7" fillId="0" borderId="22" xfId="0" applyNumberFormat="1" applyFont="1" applyFill="1" applyBorder="1" applyAlignment="1" applyProtection="1">
      <alignment horizontal="right" vertical="center" shrinkToFit="1"/>
    </xf>
    <xf numFmtId="180" fontId="7" fillId="0" borderId="45" xfId="0" applyNumberFormat="1" applyFont="1" applyFill="1" applyBorder="1" applyAlignment="1" applyProtection="1">
      <alignment horizontal="right" vertical="center" shrinkToFit="1"/>
    </xf>
    <xf numFmtId="0" fontId="5" fillId="0" borderId="25"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0" fillId="0" borderId="24" xfId="0" applyBorder="1" applyAlignment="1" applyProtection="1">
      <alignment horizontal="left" vertical="center"/>
    </xf>
    <xf numFmtId="0" fontId="0" fillId="0" borderId="27" xfId="0" applyBorder="1" applyAlignment="1" applyProtection="1">
      <alignment horizontal="left" vertical="center"/>
    </xf>
    <xf numFmtId="0" fontId="57" fillId="0" borderId="22" xfId="0" applyFont="1" applyFill="1" applyBorder="1" applyAlignment="1" applyProtection="1">
      <alignment horizontal="center" vertical="center"/>
    </xf>
    <xf numFmtId="0" fontId="57" fillId="0" borderId="45" xfId="0" applyFont="1" applyFill="1" applyBorder="1" applyAlignment="1" applyProtection="1">
      <alignment horizontal="center" vertical="center"/>
    </xf>
    <xf numFmtId="0" fontId="28" fillId="0" borderId="36" xfId="0" applyFont="1" applyFill="1" applyBorder="1" applyAlignment="1" applyProtection="1">
      <alignment horizontal="center" vertical="top" wrapText="1"/>
    </xf>
    <xf numFmtId="0" fontId="28" fillId="0" borderId="3" xfId="0" applyFont="1" applyFill="1" applyBorder="1" applyAlignment="1" applyProtection="1">
      <alignment horizontal="center" vertical="top" wrapText="1"/>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5" fillId="0" borderId="29"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4" xfId="0" applyFont="1" applyFill="1" applyBorder="1" applyAlignment="1" applyProtection="1">
      <alignment horizontal="center" vertical="center" shrinkToFit="1"/>
    </xf>
    <xf numFmtId="0" fontId="57" fillId="0" borderId="23" xfId="0" applyFont="1" applyFill="1" applyBorder="1" applyAlignment="1" applyProtection="1">
      <alignment horizontal="center" vertical="center"/>
    </xf>
    <xf numFmtId="0" fontId="57" fillId="0" borderId="85" xfId="0" applyFont="1" applyFill="1" applyBorder="1" applyAlignment="1" applyProtection="1">
      <alignment horizontal="center" vertical="center"/>
    </xf>
    <xf numFmtId="179" fontId="7" fillId="0" borderId="22" xfId="0" applyNumberFormat="1" applyFont="1" applyFill="1" applyBorder="1" applyAlignment="1" applyProtection="1">
      <alignment horizontal="right" vertical="center" shrinkToFit="1"/>
    </xf>
    <xf numFmtId="179" fontId="7" fillId="0" borderId="85" xfId="0" applyNumberFormat="1" applyFont="1" applyFill="1" applyBorder="1" applyAlignment="1" applyProtection="1">
      <alignment horizontal="right" vertical="center" shrinkToFit="1"/>
    </xf>
    <xf numFmtId="0" fontId="57" fillId="0" borderId="14" xfId="0" applyFont="1" applyFill="1" applyBorder="1" applyAlignment="1" applyProtection="1">
      <alignment horizontal="center" vertical="center"/>
    </xf>
    <xf numFmtId="0" fontId="5" fillId="0" borderId="1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2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5" fillId="0" borderId="29"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38" xfId="0" applyFont="1" applyBorder="1" applyAlignment="1" applyProtection="1">
      <alignment horizontal="left" vertical="center"/>
    </xf>
    <xf numFmtId="0" fontId="5" fillId="0" borderId="43" xfId="0" applyFont="1" applyBorder="1" applyAlignment="1" applyProtection="1">
      <alignment horizontal="left" vertical="center"/>
    </xf>
    <xf numFmtId="0" fontId="5" fillId="0" borderId="44" xfId="0" applyFont="1" applyBorder="1" applyAlignment="1" applyProtection="1">
      <alignment horizontal="left" vertical="center"/>
    </xf>
    <xf numFmtId="0" fontId="5" fillId="0" borderId="19" xfId="0" applyFont="1" applyBorder="1" applyAlignment="1" applyProtection="1">
      <alignment horizontal="left" vertical="center"/>
    </xf>
    <xf numFmtId="0" fontId="0" fillId="0" borderId="22" xfId="0"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45" xfId="0" applyFont="1" applyBorder="1" applyAlignment="1" applyProtection="1">
      <alignment horizontal="left" vertical="center" wrapText="1"/>
    </xf>
    <xf numFmtId="0" fontId="0" fillId="4" borderId="29"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38" xfId="0" applyFill="1" applyBorder="1" applyAlignment="1" applyProtection="1">
      <alignment horizontal="left" vertical="center" wrapText="1"/>
    </xf>
    <xf numFmtId="0" fontId="0" fillId="4" borderId="83" xfId="0" applyFill="1" applyBorder="1" applyAlignment="1" applyProtection="1">
      <alignment horizontal="left" vertical="center" wrapText="1"/>
    </xf>
    <xf numFmtId="0" fontId="0" fillId="4" borderId="90" xfId="0" applyFill="1" applyBorder="1" applyAlignment="1" applyProtection="1">
      <alignment horizontal="left" vertical="center" wrapText="1"/>
    </xf>
    <xf numFmtId="0" fontId="0" fillId="4" borderId="84" xfId="0" applyFill="1" applyBorder="1" applyAlignment="1" applyProtection="1">
      <alignment horizontal="left" vertical="center" wrapText="1"/>
    </xf>
    <xf numFmtId="0" fontId="57" fillId="0" borderId="23" xfId="0" applyFont="1" applyBorder="1" applyAlignment="1" applyProtection="1">
      <alignment horizontal="center" vertical="center"/>
    </xf>
    <xf numFmtId="0" fontId="57" fillId="0" borderId="14" xfId="0" applyFont="1" applyBorder="1" applyAlignment="1" applyProtection="1">
      <alignment horizontal="center" vertical="center"/>
    </xf>
    <xf numFmtId="0" fontId="6" fillId="2" borderId="25"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11" fillId="4" borderId="29" xfId="0" applyFont="1" applyFill="1" applyBorder="1" applyAlignment="1" applyProtection="1">
      <alignment horizontal="center" vertical="center" shrinkToFit="1"/>
    </xf>
    <xf numFmtId="0" fontId="11" fillId="4" borderId="18" xfId="0" applyFont="1" applyFill="1" applyBorder="1" applyAlignment="1" applyProtection="1">
      <alignment horizontal="center" vertical="center" shrinkToFit="1"/>
    </xf>
    <xf numFmtId="0" fontId="82" fillId="4" borderId="24" xfId="0" applyFont="1" applyFill="1" applyBorder="1" applyAlignment="1" applyProtection="1">
      <alignment horizontal="center" vertical="center" shrinkToFit="1"/>
      <protection locked="0"/>
    </xf>
    <xf numFmtId="0" fontId="82" fillId="4" borderId="38" xfId="0" applyFont="1" applyFill="1" applyBorder="1" applyAlignment="1" applyProtection="1">
      <alignment horizontal="center" vertical="center" shrinkToFit="1"/>
      <protection locked="0"/>
    </xf>
    <xf numFmtId="0" fontId="13" fillId="6" borderId="57" xfId="0" applyFont="1" applyFill="1" applyBorder="1" applyAlignment="1" applyProtection="1">
      <alignment horizontal="center" vertical="center"/>
    </xf>
    <xf numFmtId="0" fontId="13" fillId="6" borderId="58" xfId="0" applyFont="1" applyFill="1" applyBorder="1" applyAlignment="1" applyProtection="1">
      <alignment horizontal="center" vertical="center"/>
    </xf>
    <xf numFmtId="0" fontId="13" fillId="6" borderId="59" xfId="0" applyFont="1" applyFill="1" applyBorder="1" applyAlignment="1" applyProtection="1">
      <alignment horizontal="center" vertical="center"/>
    </xf>
    <xf numFmtId="0" fontId="14" fillId="0" borderId="64" xfId="0" applyFont="1" applyBorder="1" applyAlignment="1" applyProtection="1">
      <alignment horizontal="center" vertical="center" shrinkToFit="1"/>
    </xf>
    <xf numFmtId="0" fontId="14" fillId="0" borderId="65" xfId="0" applyFont="1" applyBorder="1" applyAlignment="1" applyProtection="1">
      <alignment horizontal="center" vertical="center" shrinkToFit="1"/>
    </xf>
    <xf numFmtId="0" fontId="14" fillId="0" borderId="66" xfId="0" applyFont="1" applyBorder="1" applyAlignment="1" applyProtection="1">
      <alignment horizontal="center" vertical="center" shrinkToFit="1"/>
    </xf>
    <xf numFmtId="38" fontId="5" fillId="4" borderId="0" xfId="2" applyFont="1" applyFill="1" applyBorder="1" applyAlignment="1" applyProtection="1">
      <alignment horizontal="right" vertical="center" shrinkToFit="1"/>
    </xf>
    <xf numFmtId="0" fontId="14" fillId="0" borderId="52" xfId="0" applyFont="1" applyBorder="1" applyAlignment="1" applyProtection="1">
      <alignment horizontal="center" vertical="center" shrinkToFit="1"/>
    </xf>
    <xf numFmtId="0" fontId="14" fillId="0" borderId="60" xfId="0" applyFont="1" applyBorder="1" applyAlignment="1" applyProtection="1">
      <alignment horizontal="center" vertical="center" shrinkToFit="1"/>
    </xf>
    <xf numFmtId="0" fontId="14" fillId="0" borderId="53" xfId="0" applyFont="1" applyBorder="1" applyAlignment="1" applyProtection="1">
      <alignment horizontal="center" vertical="center" shrinkToFit="1"/>
    </xf>
    <xf numFmtId="0" fontId="5" fillId="4" borderId="0"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shrinkToFit="1"/>
    </xf>
    <xf numFmtId="0" fontId="12" fillId="4" borderId="1" xfId="0" applyFont="1" applyFill="1" applyBorder="1" applyAlignment="1" applyProtection="1">
      <alignment horizontal="left" vertical="center" shrinkToFit="1"/>
    </xf>
    <xf numFmtId="49" fontId="46" fillId="4" borderId="0" xfId="2" applyNumberFormat="1" applyFont="1" applyFill="1" applyBorder="1" applyAlignment="1" applyProtection="1">
      <alignment horizontal="left" vertical="top" wrapText="1"/>
    </xf>
    <xf numFmtId="49" fontId="4" fillId="4" borderId="0" xfId="2" applyNumberFormat="1" applyFont="1" applyFill="1" applyBorder="1" applyAlignment="1" applyProtection="1">
      <alignment horizontal="left" vertical="top" wrapText="1"/>
    </xf>
    <xf numFmtId="49" fontId="16" fillId="4" borderId="0" xfId="2" applyNumberFormat="1" applyFont="1" applyFill="1" applyBorder="1" applyAlignment="1" applyProtection="1">
      <alignment horizontal="left" vertical="center" wrapText="1"/>
    </xf>
    <xf numFmtId="0" fontId="0" fillId="4" borderId="0" xfId="0" applyFill="1" applyBorder="1" applyAlignment="1" applyProtection="1">
      <alignment horizontal="left" vertical="center" wrapText="1"/>
    </xf>
    <xf numFmtId="49" fontId="5" fillId="4" borderId="0" xfId="2" applyNumberFormat="1" applyFont="1" applyFill="1" applyBorder="1" applyAlignment="1" applyProtection="1">
      <alignment horizontal="left" vertical="top" wrapText="1"/>
    </xf>
    <xf numFmtId="0" fontId="12" fillId="4" borderId="0" xfId="0" applyFont="1" applyFill="1" applyBorder="1" applyAlignment="1" applyProtection="1">
      <alignment horizontal="center" vertical="center" shrinkToFit="1"/>
    </xf>
    <xf numFmtId="0" fontId="12" fillId="4" borderId="1" xfId="0" applyFont="1" applyFill="1" applyBorder="1" applyAlignment="1" applyProtection="1">
      <alignment horizontal="center" vertical="center" shrinkToFit="1"/>
    </xf>
    <xf numFmtId="0" fontId="14" fillId="0" borderId="68" xfId="0" applyFont="1" applyBorder="1" applyAlignment="1" applyProtection="1">
      <alignment horizontal="center" vertical="center" shrinkToFit="1"/>
    </xf>
    <xf numFmtId="0" fontId="14" fillId="0" borderId="61" xfId="0" applyFont="1" applyBorder="1" applyAlignment="1" applyProtection="1">
      <alignment horizontal="center" vertical="center" shrinkToFit="1"/>
    </xf>
    <xf numFmtId="49" fontId="5" fillId="4" borderId="0" xfId="2" applyNumberFormat="1" applyFont="1" applyFill="1" applyBorder="1" applyAlignment="1" applyProtection="1">
      <alignment horizontal="left" vertical="center" wrapText="1"/>
    </xf>
    <xf numFmtId="0" fontId="5" fillId="4" borderId="0" xfId="0" applyFont="1" applyFill="1" applyBorder="1" applyAlignment="1" applyProtection="1">
      <alignment vertical="center"/>
    </xf>
    <xf numFmtId="0" fontId="0" fillId="4" borderId="0" xfId="0" applyFill="1" applyBorder="1" applyAlignment="1" applyProtection="1">
      <alignment vertical="center"/>
    </xf>
    <xf numFmtId="0" fontId="55" fillId="4" borderId="0" xfId="0" applyFont="1" applyFill="1" applyBorder="1" applyAlignment="1" applyProtection="1">
      <alignment horizontal="left" vertical="top" wrapText="1"/>
    </xf>
    <xf numFmtId="0" fontId="55" fillId="4" borderId="0" xfId="2" applyNumberFormat="1" applyFont="1" applyFill="1" applyBorder="1" applyAlignment="1" applyProtection="1">
      <alignment horizontal="left" vertical="top" wrapText="1"/>
    </xf>
    <xf numFmtId="49" fontId="45" fillId="0" borderId="10" xfId="2" applyNumberFormat="1" applyFont="1" applyBorder="1" applyAlignment="1" applyProtection="1">
      <alignment horizontal="left" vertical="center" wrapText="1"/>
    </xf>
    <xf numFmtId="185" fontId="5" fillId="5" borderId="73" xfId="0" applyNumberFormat="1" applyFont="1" applyFill="1" applyBorder="1" applyAlignment="1" applyProtection="1">
      <alignment horizontal="center" vertical="center" shrinkToFit="1"/>
      <protection locked="0"/>
    </xf>
    <xf numFmtId="185" fontId="5" fillId="5" borderId="46" xfId="0" applyNumberFormat="1" applyFont="1" applyFill="1" applyBorder="1" applyAlignment="1" applyProtection="1">
      <alignment horizontal="center" vertical="center" shrinkToFit="1"/>
      <protection locked="0"/>
    </xf>
    <xf numFmtId="185" fontId="5" fillId="5" borderId="63" xfId="0" applyNumberFormat="1" applyFont="1" applyFill="1" applyBorder="1" applyAlignment="1" applyProtection="1">
      <alignment horizontal="center" vertical="center" shrinkToFit="1"/>
      <protection locked="0"/>
    </xf>
    <xf numFmtId="49" fontId="32" fillId="4" borderId="0" xfId="2" applyNumberFormat="1" applyFont="1" applyFill="1" applyBorder="1" applyAlignment="1" applyProtection="1">
      <alignment horizontal="left" vertical="top" wrapText="1"/>
    </xf>
    <xf numFmtId="0" fontId="5" fillId="4" borderId="0" xfId="0" applyFont="1" applyFill="1" applyBorder="1" applyAlignment="1" applyProtection="1">
      <alignment horizontal="left" vertical="top" wrapText="1"/>
    </xf>
    <xf numFmtId="0" fontId="5" fillId="0" borderId="69" xfId="0" applyFont="1" applyBorder="1" applyAlignment="1" applyProtection="1">
      <alignment horizontal="center" vertical="center"/>
    </xf>
    <xf numFmtId="0" fontId="5" fillId="0" borderId="61" xfId="0" applyFont="1" applyBorder="1" applyAlignment="1" applyProtection="1">
      <alignment horizontal="center" vertical="center"/>
    </xf>
    <xf numFmtId="0" fontId="11" fillId="4" borderId="0" xfId="0" applyFont="1" applyFill="1" applyBorder="1" applyAlignment="1" applyProtection="1">
      <alignment horizontal="left" vertical="center" shrinkToFit="1"/>
    </xf>
    <xf numFmtId="0" fontId="11" fillId="4" borderId="1" xfId="0" applyFont="1" applyFill="1" applyBorder="1" applyAlignment="1" applyProtection="1">
      <alignment horizontal="left" vertical="center" shrinkToFit="1"/>
    </xf>
    <xf numFmtId="0" fontId="5" fillId="4" borderId="0" xfId="0" applyFont="1" applyFill="1" applyBorder="1" applyAlignment="1" applyProtection="1">
      <alignment horizontal="left" vertical="top"/>
    </xf>
    <xf numFmtId="0" fontId="5" fillId="0" borderId="67" xfId="0" applyFont="1" applyBorder="1" applyAlignment="1" applyProtection="1">
      <alignment horizontal="center" vertical="center" wrapText="1"/>
    </xf>
    <xf numFmtId="0" fontId="5" fillId="0" borderId="68" xfId="0" applyFont="1" applyBorder="1" applyAlignment="1" applyProtection="1">
      <alignment horizontal="center" vertical="center" wrapText="1"/>
    </xf>
    <xf numFmtId="0" fontId="4" fillId="0" borderId="64" xfId="0" applyFont="1" applyBorder="1" applyAlignment="1" applyProtection="1">
      <alignment horizontal="center" vertical="center" shrinkToFit="1"/>
    </xf>
    <xf numFmtId="0" fontId="4" fillId="0" borderId="66" xfId="0" applyFont="1" applyBorder="1" applyAlignment="1" applyProtection="1">
      <alignment horizontal="center" vertical="center" shrinkToFit="1"/>
    </xf>
    <xf numFmtId="178" fontId="11" fillId="4" borderId="0" xfId="0" applyNumberFormat="1" applyFont="1" applyFill="1" applyBorder="1" applyAlignment="1" applyProtection="1">
      <alignment horizontal="center" vertical="center" shrinkToFit="1"/>
    </xf>
    <xf numFmtId="178" fontId="11" fillId="4" borderId="1" xfId="0" applyNumberFormat="1"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shrinkToFit="1"/>
    </xf>
    <xf numFmtId="0" fontId="11" fillId="4" borderId="1" xfId="0" applyFont="1" applyFill="1" applyBorder="1" applyAlignment="1" applyProtection="1">
      <alignment horizontal="center" vertical="center" shrinkToFit="1"/>
    </xf>
    <xf numFmtId="185" fontId="5" fillId="5" borderId="14" xfId="0" applyNumberFormat="1" applyFont="1" applyFill="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69" xfId="0" applyFont="1" applyBorder="1" applyAlignment="1" applyProtection="1">
      <alignment horizontal="center" vertical="center" shrinkToFit="1"/>
    </xf>
    <xf numFmtId="0" fontId="5" fillId="0" borderId="61" xfId="0" applyFont="1" applyBorder="1" applyAlignment="1" applyProtection="1">
      <alignment horizontal="center" vertical="center" shrinkToFit="1"/>
    </xf>
    <xf numFmtId="0" fontId="11" fillId="0" borderId="47" xfId="0" applyFont="1" applyBorder="1" applyAlignment="1" applyProtection="1">
      <alignment horizontal="center" vertical="center" wrapText="1" shrinkToFit="1"/>
    </xf>
    <xf numFmtId="0" fontId="11" fillId="0" borderId="45" xfId="0" applyFont="1" applyBorder="1" applyAlignment="1" applyProtection="1">
      <alignment horizontal="center" vertical="center" shrinkToFit="1"/>
    </xf>
    <xf numFmtId="185" fontId="5" fillId="5" borderId="20" xfId="0" applyNumberFormat="1"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xf>
    <xf numFmtId="0" fontId="5" fillId="4" borderId="51" xfId="0" applyFont="1" applyFill="1" applyBorder="1" applyAlignment="1" applyProtection="1">
      <alignment horizontal="center" vertical="center" shrinkToFit="1"/>
    </xf>
    <xf numFmtId="0" fontId="5" fillId="4" borderId="8" xfId="0" applyFont="1" applyFill="1" applyBorder="1" applyAlignment="1" applyProtection="1">
      <alignment horizontal="center" vertical="center" shrinkToFit="1"/>
    </xf>
    <xf numFmtId="0" fontId="5" fillId="4" borderId="6" xfId="0" applyFont="1" applyFill="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0" fillId="0" borderId="70" xfId="0" applyBorder="1" applyAlignment="1" applyProtection="1">
      <alignment vertical="center" shrinkToFit="1"/>
    </xf>
    <xf numFmtId="0" fontId="5" fillId="0" borderId="36" xfId="0" applyFont="1" applyBorder="1" applyAlignment="1" applyProtection="1">
      <alignment horizontal="center" vertical="center" shrinkToFit="1"/>
    </xf>
    <xf numFmtId="0" fontId="0" fillId="0" borderId="6" xfId="0" applyBorder="1" applyAlignment="1" applyProtection="1">
      <alignment vertical="center" shrinkToFit="1"/>
    </xf>
    <xf numFmtId="0" fontId="5" fillId="4" borderId="25"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13"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43" xfId="0" applyFont="1" applyFill="1" applyBorder="1" applyAlignment="1" applyProtection="1">
      <alignment horizontal="left" vertical="center"/>
    </xf>
    <xf numFmtId="0" fontId="5" fillId="4" borderId="44" xfId="0" applyFont="1" applyFill="1" applyBorder="1" applyAlignment="1" applyProtection="1">
      <alignment horizontal="left" vertical="center"/>
    </xf>
    <xf numFmtId="0" fontId="1" fillId="4" borderId="10"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29" xfId="0" applyFont="1" applyFill="1" applyBorder="1" applyAlignment="1" applyProtection="1">
      <alignment horizontal="left" vertical="center"/>
    </xf>
    <xf numFmtId="0" fontId="5" fillId="4" borderId="18" xfId="0" applyFont="1" applyFill="1" applyBorder="1" applyAlignment="1" applyProtection="1">
      <alignment horizontal="left" vertical="center"/>
    </xf>
    <xf numFmtId="0" fontId="5" fillId="4" borderId="29" xfId="0" applyFont="1" applyFill="1" applyBorder="1" applyAlignment="1" applyProtection="1">
      <alignment horizontal="left" vertical="top" wrapText="1"/>
    </xf>
    <xf numFmtId="0" fontId="5" fillId="4" borderId="18" xfId="0" applyFont="1" applyFill="1" applyBorder="1" applyAlignment="1" applyProtection="1">
      <alignment horizontal="left" vertical="top" wrapText="1"/>
    </xf>
    <xf numFmtId="0" fontId="5" fillId="4" borderId="0" xfId="0" applyFont="1" applyFill="1" applyBorder="1" applyAlignment="1" applyProtection="1">
      <alignment horizontal="justify" vertical="top" wrapText="1"/>
    </xf>
    <xf numFmtId="0" fontId="62" fillId="4" borderId="0" xfId="0" applyFont="1" applyFill="1" applyBorder="1" applyAlignment="1" applyProtection="1">
      <alignment horizontal="left" vertical="top" wrapText="1"/>
    </xf>
    <xf numFmtId="0" fontId="6" fillId="0" borderId="11" xfId="0" applyFont="1" applyBorder="1" applyAlignment="1" applyProtection="1">
      <alignment horizontal="left" vertical="center"/>
    </xf>
    <xf numFmtId="0" fontId="6" fillId="0" borderId="23" xfId="0" applyFont="1" applyBorder="1" applyAlignment="1" applyProtection="1">
      <alignment horizontal="left" vertical="center"/>
    </xf>
    <xf numFmtId="0" fontId="11" fillId="4" borderId="0" xfId="0" applyFont="1" applyFill="1" applyBorder="1" applyAlignment="1" applyProtection="1">
      <alignment vertical="center" shrinkToFit="1"/>
    </xf>
    <xf numFmtId="0" fontId="11" fillId="4" borderId="1" xfId="0" applyFont="1" applyFill="1" applyBorder="1" applyAlignment="1" applyProtection="1">
      <alignment vertical="center" shrinkToFit="1"/>
    </xf>
    <xf numFmtId="0" fontId="5" fillId="4" borderId="10"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wrapText="1"/>
    </xf>
    <xf numFmtId="0" fontId="0" fillId="4" borderId="1" xfId="0" applyFill="1" applyBorder="1" applyAlignment="1" applyProtection="1">
      <alignment horizontal="left" vertical="center" shrinkToFit="1"/>
    </xf>
    <xf numFmtId="0" fontId="11" fillId="4" borderId="0" xfId="0" applyFont="1" applyFill="1" applyBorder="1" applyAlignment="1" applyProtection="1">
      <alignment horizontal="left" vertical="center"/>
    </xf>
    <xf numFmtId="0" fontId="11" fillId="4" borderId="1" xfId="0" applyFont="1" applyFill="1" applyBorder="1" applyAlignment="1" applyProtection="1">
      <alignment horizontal="left" vertical="center"/>
    </xf>
    <xf numFmtId="0" fontId="5" fillId="4" borderId="44"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0" fontId="12" fillId="4" borderId="0" xfId="0" applyFont="1" applyFill="1" applyBorder="1" applyAlignment="1" applyProtection="1">
      <alignment vertical="center" shrinkToFit="1"/>
    </xf>
    <xf numFmtId="0" fontId="0" fillId="4" borderId="1" xfId="0" applyFill="1" applyBorder="1" applyAlignment="1" applyProtection="1">
      <alignment vertical="center" shrinkToFit="1"/>
    </xf>
    <xf numFmtId="0" fontId="12" fillId="4" borderId="0"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179" fontId="5" fillId="3" borderId="49" xfId="0" applyNumberFormat="1" applyFont="1" applyFill="1" applyBorder="1" applyAlignment="1" applyProtection="1">
      <alignment horizontal="center" vertical="center" shrinkToFit="1"/>
      <protection locked="0"/>
    </xf>
    <xf numFmtId="179" fontId="5" fillId="3" borderId="51" xfId="0" applyNumberFormat="1" applyFont="1" applyFill="1" applyBorder="1" applyAlignment="1" applyProtection="1">
      <alignment horizontal="center" vertical="center" shrinkToFit="1"/>
      <protection locked="0"/>
    </xf>
    <xf numFmtId="179" fontId="5" fillId="3" borderId="52" xfId="0" applyNumberFormat="1" applyFont="1" applyFill="1" applyBorder="1" applyAlignment="1" applyProtection="1">
      <alignment horizontal="center" vertical="center" shrinkToFit="1"/>
      <protection locked="0"/>
    </xf>
    <xf numFmtId="179" fontId="5" fillId="3" borderId="61" xfId="0" applyNumberFormat="1" applyFont="1" applyFill="1" applyBorder="1" applyAlignment="1" applyProtection="1">
      <alignment horizontal="center" vertical="center" shrinkToFit="1"/>
      <protection locked="0"/>
    </xf>
    <xf numFmtId="0" fontId="60" fillId="4" borderId="0" xfId="0" applyFont="1" applyFill="1" applyBorder="1" applyAlignment="1" applyProtection="1">
      <alignment horizontal="left" vertical="center" wrapText="1"/>
    </xf>
    <xf numFmtId="0" fontId="13" fillId="6" borderId="54" xfId="0" applyFont="1" applyFill="1" applyBorder="1" applyAlignment="1" applyProtection="1">
      <alignment horizontal="center" vertical="center"/>
    </xf>
    <xf numFmtId="0" fontId="13" fillId="6" borderId="55" xfId="0" applyFont="1" applyFill="1" applyBorder="1" applyAlignment="1" applyProtection="1">
      <alignment horizontal="center" vertical="center"/>
    </xf>
    <xf numFmtId="0" fontId="13" fillId="6" borderId="56" xfId="0" applyFont="1" applyFill="1" applyBorder="1" applyAlignment="1" applyProtection="1">
      <alignment horizontal="center" vertical="center"/>
    </xf>
    <xf numFmtId="0" fontId="55" fillId="4" borderId="0" xfId="0" applyFont="1" applyFill="1" applyBorder="1" applyAlignment="1" applyProtection="1">
      <alignment horizontal="left" vertical="center" wrapText="1"/>
    </xf>
  </cellXfs>
  <cellStyles count="3">
    <cellStyle name="パーセント" xfId="1" builtinId="5"/>
    <cellStyle name="桁区切り" xfId="2" builtinId="6"/>
    <cellStyle name="標準" xfId="0" builtinId="0"/>
  </cellStyles>
  <dxfs count="39">
    <dxf>
      <fill>
        <patternFill>
          <bgColor rgb="FFFFFF00"/>
        </patternFill>
      </fill>
    </dxf>
    <dxf>
      <fill>
        <patternFill>
          <bgColor rgb="FFFFFF00"/>
        </patternFill>
      </fill>
    </dxf>
    <dxf>
      <font>
        <color theme="9" tint="-0.24994659260841701"/>
      </font>
    </dxf>
    <dxf>
      <font>
        <color rgb="FFFF0000"/>
        <name val="ＭＳ Ｐゴシック"/>
        <scheme val="none"/>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font>
    </dxf>
    <dxf>
      <font>
        <color auto="1"/>
      </font>
      <fill>
        <patternFill>
          <bgColor rgb="FFFFFF00"/>
        </patternFill>
      </fill>
    </dxf>
    <dxf>
      <font>
        <color theme="1"/>
      </font>
      <fill>
        <patternFill>
          <bgColor rgb="FFFFFF00"/>
        </patternFill>
      </fill>
    </dxf>
    <dxf>
      <font>
        <color theme="1"/>
      </font>
      <fill>
        <patternFill>
          <bgColor rgb="FFCCFFFF"/>
        </patternFill>
      </fill>
      <border>
        <left style="thin">
          <color auto="1"/>
        </left>
        <right style="thin">
          <color auto="1"/>
        </right>
        <top style="thin">
          <color auto="1"/>
        </top>
        <bottom style="thin">
          <color auto="1"/>
        </bottom>
        <vertical/>
        <horizontal/>
      </border>
    </dxf>
    <dxf>
      <font>
        <b/>
        <i val="0"/>
        <color theme="1"/>
      </font>
      <fill>
        <patternFill>
          <bgColor rgb="FFCCFFFF"/>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fill>
        <patternFill>
          <bgColor rgb="FFCCFFFF"/>
        </patternFill>
      </fill>
      <border>
        <left style="thin">
          <color auto="1"/>
        </left>
        <right style="thin">
          <color auto="1"/>
        </right>
        <top style="thin">
          <color auto="1"/>
        </top>
        <bottom style="thin">
          <color auto="1"/>
        </bottom>
        <vertical/>
        <horizontal/>
      </border>
    </dxf>
    <dxf>
      <font>
        <color rgb="FFFF0000"/>
      </font>
    </dxf>
    <dxf>
      <font>
        <color rgb="FFFF0000"/>
      </font>
    </dxf>
    <dxf>
      <font>
        <color rgb="FFFF0000"/>
      </font>
    </dxf>
    <dxf>
      <font>
        <color rgb="FFFF0000"/>
      </font>
    </dxf>
    <dxf>
      <fill>
        <patternFill>
          <bgColor indexed="41"/>
        </patternFill>
      </fill>
    </dxf>
    <dxf>
      <fill>
        <patternFill>
          <bgColor rgb="FFCCFFFF"/>
        </patternFill>
      </fill>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theme="1"/>
      </font>
      <fill>
        <patternFill>
          <bgColor rgb="FFCCFFFF"/>
        </patternFill>
      </fill>
      <border>
        <left style="thin">
          <color indexed="64"/>
        </left>
      </border>
    </dxf>
    <dxf>
      <fill>
        <patternFill>
          <bgColor indexed="41"/>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2" Type="http://schemas.openxmlformats.org/officeDocument/2006/relationships/image" Target="../media/image2.emf"/><Relationship Id="rId1" Type="http://schemas.openxmlformats.org/officeDocument/2006/relationships/image" Target="../media/image4.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 Id="rId9"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14.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2.emf"/><Relationship Id="rId16"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1" Type="http://schemas.openxmlformats.org/officeDocument/2006/relationships/image" Target="../media/image2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132</xdr:row>
      <xdr:rowOff>64770</xdr:rowOff>
    </xdr:from>
    <xdr:to>
      <xdr:col>7</xdr:col>
      <xdr:colOff>330070</xdr:colOff>
      <xdr:row>143</xdr:row>
      <xdr:rowOff>85999</xdr:rowOff>
    </xdr:to>
    <xdr:pic>
      <xdr:nvPicPr>
        <xdr:cNvPr id="1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28213050"/>
          <a:ext cx="3832860" cy="2116729"/>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1</xdr:col>
      <xdr:colOff>209550</xdr:colOff>
      <xdr:row>55</xdr:row>
      <xdr:rowOff>94138</xdr:rowOff>
    </xdr:from>
    <xdr:ext cx="1771649" cy="472694"/>
    <mc:AlternateContent xmlns:mc="http://schemas.openxmlformats.org/markup-compatibility/2006" xmlns:a14="http://schemas.microsoft.com/office/drawing/2010/main">
      <mc:Choice Requires="a14">
        <xdr:sp macro="" textlink="">
          <xdr:nvSpPr>
            <xdr:cNvPr id="2" name="テキスト ボックス 1"/>
            <xdr:cNvSpPr txBox="1"/>
          </xdr:nvSpPr>
          <xdr:spPr>
            <a:xfrm>
              <a:off x="771525" y="12724288"/>
              <a:ext cx="177164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ea typeface="Cambria Math" panose="02040503050406030204" pitchFamily="18" charset="0"/>
                          </a:rPr>
                        </m:ctrlPr>
                      </m:sSubPr>
                      <m:e>
                        <m:r>
                          <a:rPr kumimoji="1" lang="ja-JP" altLang="en-US" sz="1100" i="1">
                            <a:latin typeface="Cambria Math" panose="02040503050406030204" pitchFamily="18" charset="0"/>
                          </a:rPr>
                          <m:t>𝜀</m:t>
                        </m:r>
                      </m:e>
                      <m:sub>
                        <m:r>
                          <m:rPr>
                            <m:sty m:val="p"/>
                          </m:rPr>
                          <a:rPr kumimoji="1" lang="en-US" altLang="ja-JP" sz="1100" b="0" i="0">
                            <a:latin typeface="Cambria Math" panose="02040503050406030204" pitchFamily="18" charset="0"/>
                            <a:ea typeface="Cambria Math" panose="02040503050406030204" pitchFamily="18" charset="0"/>
                          </a:rPr>
                          <m:t>pG</m:t>
                        </m:r>
                      </m:sub>
                    </m:sSub>
                    <m:r>
                      <a:rPr kumimoji="1" lang="en-US" altLang="ja-JP" sz="1100" i="1">
                        <a:latin typeface="Cambria Math" panose="02040503050406030204" pitchFamily="18" charset="0"/>
                        <a:ea typeface="Cambria Math" panose="02040503050406030204" pitchFamily="18" charset="0"/>
                      </a:rPr>
                      <m:t>=</m:t>
                    </m:r>
                    <m:d>
                      <m:dPr>
                        <m:ctrlPr>
                          <a:rPr kumimoji="1" lang="en-US" altLang="ja-JP" sz="1100" i="1">
                            <a:latin typeface="Cambria Math"/>
                            <a:ea typeface="Cambria Math" panose="02040503050406030204" pitchFamily="18" charset="0"/>
                          </a:rPr>
                        </m:ctrlPr>
                      </m:dPr>
                      <m:e>
                        <m:f>
                          <m:fPr>
                            <m:ctrlPr>
                              <a:rPr kumimoji="1" lang="en-US" altLang="ja-JP" sz="1100" i="1">
                                <a:latin typeface="Cambria Math"/>
                                <a:ea typeface="Cambria Math" panose="02040503050406030204" pitchFamily="18" charset="0"/>
                              </a:rPr>
                            </m:ctrlPr>
                          </m:fPr>
                          <m:num>
                            <m:sSub>
                              <m:sSubPr>
                                <m:ctrlPr>
                                  <a:rPr kumimoji="1" lang="en-US" altLang="ja-JP" sz="1100" i="1">
                                    <a:latin typeface="Cambria Math"/>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𝑝</m:t>
                                </m:r>
                              </m:e>
                              <m:sub>
                                <m:r>
                                  <a:rPr kumimoji="1" lang="en-US" altLang="ja-JP" sz="1100" i="1">
                                    <a:latin typeface="Cambria Math" panose="02040503050406030204" pitchFamily="18" charset="0"/>
                                    <a:ea typeface="Cambria Math" panose="02040503050406030204" pitchFamily="18" charset="0"/>
                                  </a:rPr>
                                  <m:t>𝑥𝐺</m:t>
                                </m:r>
                              </m:sub>
                            </m:sSub>
                          </m:num>
                          <m:den>
                            <m:sSub>
                              <m:sSubPr>
                                <m:ctrlPr>
                                  <a:rPr kumimoji="1" lang="en-US" altLang="ja-JP" sz="1100" i="1">
                                    <a:latin typeface="Cambria Math"/>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𝑝</m:t>
                                </m:r>
                              </m:e>
                              <m:sub>
                                <m:r>
                                  <a:rPr kumimoji="1" lang="en-US" altLang="ja-JP" sz="1100" i="1">
                                    <a:latin typeface="Cambria Math" panose="02040503050406030204" pitchFamily="18" charset="0"/>
                                    <a:ea typeface="Cambria Math" panose="02040503050406030204" pitchFamily="18" charset="0"/>
                                  </a:rPr>
                                  <m:t>𝑟𝐺</m:t>
                                </m:r>
                              </m:sub>
                            </m:sSub>
                          </m:den>
                        </m:f>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1</m:t>
                        </m:r>
                      </m:e>
                    </m:d>
                    <m:r>
                      <a:rPr kumimoji="1" lang="en-US" altLang="ja-JP" sz="1100" i="1">
                        <a:latin typeface="Cambria Math" panose="02040503050406030204" pitchFamily="18" charset="0"/>
                        <a:ea typeface="Cambria Math" panose="02040503050406030204" pitchFamily="18" charset="0"/>
                      </a:rPr>
                      <m:t>×100</m:t>
                    </m:r>
                  </m:oMath>
                </m:oMathPara>
              </a14:m>
              <a:endParaRPr kumimoji="1" lang="ja-JP" altLang="en-US" sz="1100">
                <a:latin typeface="Cambria Math" panose="02040503050406030204" pitchFamily="18" charset="0"/>
              </a:endParaRPr>
            </a:p>
          </xdr:txBody>
        </xdr:sp>
      </mc:Choice>
      <mc:Fallback xmlns="">
        <xdr:sp macro="" textlink="">
          <xdr:nvSpPr>
            <xdr:cNvPr id="2" name="テキスト ボックス 1"/>
            <xdr:cNvSpPr txBox="1"/>
          </xdr:nvSpPr>
          <xdr:spPr>
            <a:xfrm>
              <a:off x="771525" y="12724288"/>
              <a:ext cx="177164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panose="02040503050406030204" pitchFamily="18" charset="0"/>
                </a:rPr>
                <a:t>𝜀</a:t>
              </a:r>
              <a:r>
                <a:rPr kumimoji="1" lang="en-US" altLang="ja-JP" sz="1100" i="0">
                  <a:latin typeface="Cambria Math"/>
                  <a:ea typeface="Cambria Math" panose="02040503050406030204" pitchFamily="18" charset="0"/>
                </a:rPr>
                <a:t>_</a:t>
              </a:r>
              <a:r>
                <a:rPr kumimoji="1" lang="en-US" altLang="ja-JP" sz="1100" b="0" i="0">
                  <a:latin typeface="Cambria Math" panose="02040503050406030204" pitchFamily="18" charset="0"/>
                  <a:ea typeface="Cambria Math" panose="02040503050406030204" pitchFamily="18" charset="0"/>
                </a:rPr>
                <a:t>pG</a:t>
              </a:r>
              <a:r>
                <a:rPr kumimoji="1" lang="en-US" altLang="ja-JP" sz="1100" i="0">
                  <a:latin typeface="Cambria Math" panose="02040503050406030204" pitchFamily="18" charset="0"/>
                  <a:ea typeface="Cambria Math" panose="02040503050406030204" pitchFamily="18" charset="0"/>
                </a:rPr>
                <a:t>=</a:t>
              </a:r>
              <a:r>
                <a:rPr kumimoji="1" lang="en-US" altLang="ja-JP" sz="1100" i="0">
                  <a:latin typeface="Cambria Math"/>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𝑝</a:t>
              </a:r>
              <a:r>
                <a:rPr kumimoji="1" lang="en-US" altLang="ja-JP" sz="1100" b="0" i="0">
                  <a:latin typeface="Cambria Math"/>
                  <a:ea typeface="Cambria Math" panose="02040503050406030204" pitchFamily="18" charset="0"/>
                </a:rPr>
                <a:t>_</a:t>
              </a:r>
              <a:r>
                <a:rPr kumimoji="1" lang="en-US" altLang="ja-JP" sz="1100" i="0">
                  <a:latin typeface="Cambria Math" panose="02040503050406030204" pitchFamily="18" charset="0"/>
                  <a:ea typeface="Cambria Math" panose="02040503050406030204" pitchFamily="18" charset="0"/>
                </a:rPr>
                <a:t>𝑥𝐺</a:t>
              </a:r>
              <a:r>
                <a:rPr kumimoji="1" lang="en-US" altLang="ja-JP" sz="1100" i="0">
                  <a:latin typeface="Cambria Math"/>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𝑝</a:t>
              </a:r>
              <a:r>
                <a:rPr kumimoji="1" lang="en-US" altLang="ja-JP" sz="1100" b="0" i="0">
                  <a:latin typeface="Cambria Math"/>
                  <a:ea typeface="Cambria Math" panose="02040503050406030204" pitchFamily="18" charset="0"/>
                </a:rPr>
                <a:t>_</a:t>
              </a:r>
              <a:r>
                <a:rPr kumimoji="1" lang="en-US" altLang="ja-JP" sz="1100" i="0">
                  <a:latin typeface="Cambria Math" panose="02040503050406030204" pitchFamily="18" charset="0"/>
                  <a:ea typeface="Cambria Math" panose="02040503050406030204" pitchFamily="18" charset="0"/>
                </a:rPr>
                <a:t>𝑟𝐺</a:t>
              </a:r>
              <a:r>
                <a:rPr kumimoji="1" lang="en-US" altLang="ja-JP" sz="1100" i="0">
                  <a:latin typeface="Cambria Math"/>
                  <a:ea typeface="Cambria Math" panose="02040503050406030204" pitchFamily="18" charset="0"/>
                </a:rPr>
                <a:t>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1</a:t>
              </a:r>
              <a:r>
                <a:rPr kumimoji="1" lang="en-US" altLang="ja-JP" sz="1100" b="0" i="0">
                  <a:latin typeface="Cambria Math"/>
                  <a:ea typeface="Cambria Math" panose="02040503050406030204" pitchFamily="18" charset="0"/>
                </a:rPr>
                <a:t>)</a:t>
              </a:r>
              <a:r>
                <a:rPr kumimoji="1" lang="en-US" altLang="ja-JP" sz="1100" i="0">
                  <a:latin typeface="Cambria Math" panose="02040503050406030204" pitchFamily="18" charset="0"/>
                  <a:ea typeface="Cambria Math" panose="02040503050406030204" pitchFamily="18" charset="0"/>
                </a:rPr>
                <a:t>×100</a:t>
              </a:r>
              <a:endParaRPr kumimoji="1" lang="ja-JP" altLang="en-US" sz="1100">
                <a:latin typeface="Cambria Math" panose="02040503050406030204" pitchFamily="18" charset="0"/>
              </a:endParaRPr>
            </a:p>
          </xdr:txBody>
        </xdr:sp>
      </mc:Fallback>
    </mc:AlternateContent>
    <xdr:clientData/>
  </xdr:oneCellAnchor>
  <xdr:oneCellAnchor>
    <xdr:from>
      <xdr:col>1</xdr:col>
      <xdr:colOff>304800</xdr:colOff>
      <xdr:row>64</xdr:row>
      <xdr:rowOff>46513</xdr:rowOff>
    </xdr:from>
    <xdr:ext cx="1771649" cy="472694"/>
    <mc:AlternateContent xmlns:mc="http://schemas.openxmlformats.org/markup-compatibility/2006" xmlns:a14="http://schemas.microsoft.com/office/drawing/2010/main">
      <mc:Choice Requires="a14">
        <xdr:sp macro="" textlink="">
          <xdr:nvSpPr>
            <xdr:cNvPr id="22" name="テキスト ボックス 21"/>
            <xdr:cNvSpPr txBox="1"/>
          </xdr:nvSpPr>
          <xdr:spPr>
            <a:xfrm>
              <a:off x="866775" y="14962663"/>
              <a:ext cx="177164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ea typeface="Cambria Math" panose="02040503050406030204" pitchFamily="18" charset="0"/>
                          </a:rPr>
                        </m:ctrlPr>
                      </m:sSubPr>
                      <m:e>
                        <m:r>
                          <a:rPr kumimoji="1" lang="ja-JP" altLang="en-US" sz="1100" i="1">
                            <a:latin typeface="Cambria Math" panose="02040503050406030204" pitchFamily="18" charset="0"/>
                          </a:rPr>
                          <m:t>𝜀</m:t>
                        </m:r>
                      </m:e>
                      <m:sub>
                        <m:r>
                          <m:rPr>
                            <m:sty m:val="p"/>
                          </m:rPr>
                          <a:rPr kumimoji="1" lang="en-US" altLang="ja-JP" sz="1100" b="0" i="0">
                            <a:latin typeface="Cambria Math" panose="02040503050406030204" pitchFamily="18" charset="0"/>
                            <a:ea typeface="Cambria Math" panose="02040503050406030204" pitchFamily="18" charset="0"/>
                          </a:rPr>
                          <m:t>p</m:t>
                        </m:r>
                        <m:r>
                          <m:rPr>
                            <m:sty m:val="p"/>
                          </m:rPr>
                          <a:rPr kumimoji="1" lang="en-US" altLang="ja-JP" sz="1100" b="0" i="0">
                            <a:latin typeface="Cambria Math"/>
                            <a:ea typeface="Cambria Math" panose="02040503050406030204" pitchFamily="18" charset="0"/>
                          </a:rPr>
                          <m:t>E</m:t>
                        </m:r>
                      </m:sub>
                    </m:sSub>
                    <m:r>
                      <a:rPr kumimoji="1" lang="en-US" altLang="ja-JP" sz="1100" i="1">
                        <a:latin typeface="Cambria Math" panose="02040503050406030204" pitchFamily="18" charset="0"/>
                        <a:ea typeface="Cambria Math" panose="02040503050406030204" pitchFamily="18" charset="0"/>
                      </a:rPr>
                      <m:t>=</m:t>
                    </m:r>
                    <m:d>
                      <m:dPr>
                        <m:ctrlPr>
                          <a:rPr kumimoji="1" lang="en-US" altLang="ja-JP" sz="1100" i="1">
                            <a:latin typeface="Cambria Math"/>
                            <a:ea typeface="Cambria Math" panose="02040503050406030204" pitchFamily="18" charset="0"/>
                          </a:rPr>
                        </m:ctrlPr>
                      </m:dPr>
                      <m:e>
                        <m:f>
                          <m:fPr>
                            <m:ctrlPr>
                              <a:rPr kumimoji="1" lang="en-US" altLang="ja-JP" sz="1100" i="1">
                                <a:latin typeface="Cambria Math"/>
                                <a:ea typeface="Cambria Math" panose="02040503050406030204" pitchFamily="18" charset="0"/>
                              </a:rPr>
                            </m:ctrlPr>
                          </m:fPr>
                          <m:num>
                            <m:sSub>
                              <m:sSubPr>
                                <m:ctrlPr>
                                  <a:rPr kumimoji="1" lang="en-US" altLang="ja-JP" sz="1100" i="1">
                                    <a:latin typeface="Cambria Math"/>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𝑝</m:t>
                                </m:r>
                              </m:e>
                              <m:sub>
                                <m:r>
                                  <a:rPr kumimoji="1" lang="en-US" altLang="ja-JP" sz="1100" i="1">
                                    <a:latin typeface="Cambria Math" panose="02040503050406030204" pitchFamily="18" charset="0"/>
                                    <a:ea typeface="Cambria Math" panose="02040503050406030204" pitchFamily="18" charset="0"/>
                                  </a:rPr>
                                  <m:t>𝑥</m:t>
                                </m:r>
                                <m:r>
                                  <a:rPr kumimoji="1" lang="en-US" altLang="ja-JP" sz="1100" b="0" i="1">
                                    <a:latin typeface="Cambria Math"/>
                                    <a:ea typeface="Cambria Math" panose="02040503050406030204" pitchFamily="18" charset="0"/>
                                  </a:rPr>
                                  <m:t>𝐸</m:t>
                                </m:r>
                              </m:sub>
                            </m:sSub>
                          </m:num>
                          <m:den>
                            <m:sSub>
                              <m:sSubPr>
                                <m:ctrlPr>
                                  <a:rPr kumimoji="1" lang="en-US" altLang="ja-JP" sz="1100" i="1">
                                    <a:latin typeface="Cambria Math"/>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𝑝</m:t>
                                </m:r>
                              </m:e>
                              <m:sub>
                                <m:r>
                                  <a:rPr kumimoji="1" lang="en-US" altLang="ja-JP" sz="1100" i="1">
                                    <a:latin typeface="Cambria Math" panose="02040503050406030204" pitchFamily="18" charset="0"/>
                                    <a:ea typeface="Cambria Math" panose="02040503050406030204" pitchFamily="18" charset="0"/>
                                  </a:rPr>
                                  <m:t>𝑟</m:t>
                                </m:r>
                                <m:r>
                                  <a:rPr kumimoji="1" lang="en-US" altLang="ja-JP" sz="1100" b="0" i="1">
                                    <a:latin typeface="Cambria Math"/>
                                    <a:ea typeface="Cambria Math" panose="02040503050406030204" pitchFamily="18" charset="0"/>
                                  </a:rPr>
                                  <m:t>𝐸</m:t>
                                </m:r>
                              </m:sub>
                            </m:sSub>
                          </m:den>
                        </m:f>
                        <m:r>
                          <a:rPr kumimoji="1" lang="en-US" altLang="ja-JP" sz="110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1</m:t>
                        </m:r>
                      </m:e>
                    </m:d>
                    <m:r>
                      <a:rPr kumimoji="1" lang="en-US" altLang="ja-JP" sz="1100" i="1">
                        <a:latin typeface="Cambria Math" panose="02040503050406030204" pitchFamily="18" charset="0"/>
                        <a:ea typeface="Cambria Math" panose="02040503050406030204" pitchFamily="18" charset="0"/>
                      </a:rPr>
                      <m:t>×100</m:t>
                    </m:r>
                  </m:oMath>
                </m:oMathPara>
              </a14:m>
              <a:endParaRPr kumimoji="1" lang="ja-JP" altLang="en-US" sz="1100">
                <a:latin typeface="Cambria Math" panose="02040503050406030204" pitchFamily="18" charset="0"/>
              </a:endParaRPr>
            </a:p>
          </xdr:txBody>
        </xdr:sp>
      </mc:Choice>
      <mc:Fallback xmlns="">
        <xdr:sp macro="" textlink="">
          <xdr:nvSpPr>
            <xdr:cNvPr id="22" name="テキスト ボックス 21"/>
            <xdr:cNvSpPr txBox="1"/>
          </xdr:nvSpPr>
          <xdr:spPr>
            <a:xfrm>
              <a:off x="866775" y="14962663"/>
              <a:ext cx="1771649"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panose="02040503050406030204" pitchFamily="18" charset="0"/>
                </a:rPr>
                <a:t>𝜀</a:t>
              </a:r>
              <a:r>
                <a:rPr kumimoji="1" lang="en-US" altLang="ja-JP" sz="1100" i="0">
                  <a:latin typeface="Cambria Math"/>
                  <a:ea typeface="Cambria Math" panose="02040503050406030204" pitchFamily="18" charset="0"/>
                </a:rPr>
                <a:t>_</a:t>
              </a:r>
              <a:r>
                <a:rPr kumimoji="1" lang="en-US" altLang="ja-JP" sz="1100" b="0" i="0">
                  <a:latin typeface="Cambria Math" panose="02040503050406030204" pitchFamily="18" charset="0"/>
                  <a:ea typeface="Cambria Math" panose="02040503050406030204" pitchFamily="18" charset="0"/>
                </a:rPr>
                <a:t>p</a:t>
              </a:r>
              <a:r>
                <a:rPr kumimoji="1" lang="en-US" altLang="ja-JP" sz="1100" b="0" i="0">
                  <a:latin typeface="Cambria Math"/>
                  <a:ea typeface="Cambria Math" panose="02040503050406030204" pitchFamily="18" charset="0"/>
                </a:rPr>
                <a:t>E</a:t>
              </a:r>
              <a:r>
                <a:rPr kumimoji="1" lang="en-US" altLang="ja-JP" sz="1100" i="0">
                  <a:latin typeface="Cambria Math" panose="02040503050406030204" pitchFamily="18" charset="0"/>
                  <a:ea typeface="Cambria Math" panose="02040503050406030204" pitchFamily="18" charset="0"/>
                </a:rPr>
                <a:t>=</a:t>
              </a:r>
              <a:r>
                <a:rPr kumimoji="1" lang="en-US" altLang="ja-JP" sz="1100" i="0">
                  <a:latin typeface="Cambria Math"/>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𝑝</a:t>
              </a:r>
              <a:r>
                <a:rPr kumimoji="1" lang="en-US" altLang="ja-JP" sz="1100" b="0" i="0">
                  <a:latin typeface="Cambria Math"/>
                  <a:ea typeface="Cambria Math" panose="02040503050406030204" pitchFamily="18" charset="0"/>
                </a:rPr>
                <a:t>_</a:t>
              </a:r>
              <a:r>
                <a:rPr kumimoji="1" lang="en-US" altLang="ja-JP" sz="1100" i="0">
                  <a:latin typeface="Cambria Math" panose="02040503050406030204" pitchFamily="18" charset="0"/>
                  <a:ea typeface="Cambria Math" panose="02040503050406030204" pitchFamily="18" charset="0"/>
                </a:rPr>
                <a:t>𝑥</a:t>
              </a:r>
              <a:r>
                <a:rPr kumimoji="1" lang="en-US" altLang="ja-JP" sz="1100" b="0" i="0">
                  <a:latin typeface="Cambria Math"/>
                  <a:ea typeface="Cambria Math" panose="02040503050406030204" pitchFamily="18" charset="0"/>
                </a:rPr>
                <a:t>𝐸/</a:t>
              </a:r>
              <a:r>
                <a:rPr kumimoji="1" lang="en-US" altLang="ja-JP" sz="1100" b="0" i="0">
                  <a:latin typeface="Cambria Math" panose="02040503050406030204" pitchFamily="18" charset="0"/>
                  <a:ea typeface="Cambria Math" panose="02040503050406030204" pitchFamily="18" charset="0"/>
                </a:rPr>
                <a:t>𝑝</a:t>
              </a:r>
              <a:r>
                <a:rPr kumimoji="1" lang="en-US" altLang="ja-JP" sz="1100" b="0" i="0">
                  <a:latin typeface="Cambria Math"/>
                  <a:ea typeface="Cambria Math" panose="02040503050406030204" pitchFamily="18" charset="0"/>
                </a:rPr>
                <a:t>_</a:t>
              </a:r>
              <a:r>
                <a:rPr kumimoji="1" lang="en-US" altLang="ja-JP" sz="1100" i="0">
                  <a:latin typeface="Cambria Math" panose="02040503050406030204" pitchFamily="18" charset="0"/>
                  <a:ea typeface="Cambria Math" panose="02040503050406030204" pitchFamily="18" charset="0"/>
                </a:rPr>
                <a:t>𝑟</a:t>
              </a:r>
              <a:r>
                <a:rPr kumimoji="1" lang="en-US" altLang="ja-JP" sz="1100" b="0" i="0">
                  <a:latin typeface="Cambria Math"/>
                  <a:ea typeface="Cambria Math" panose="02040503050406030204" pitchFamily="18" charset="0"/>
                </a:rPr>
                <a:t>𝐸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1</a:t>
              </a:r>
              <a:r>
                <a:rPr kumimoji="1" lang="en-US" altLang="ja-JP" sz="1100" b="0" i="0">
                  <a:latin typeface="Cambria Math"/>
                  <a:ea typeface="Cambria Math" panose="02040503050406030204" pitchFamily="18" charset="0"/>
                </a:rPr>
                <a:t>)</a:t>
              </a:r>
              <a:r>
                <a:rPr kumimoji="1" lang="en-US" altLang="ja-JP" sz="1100" i="0">
                  <a:latin typeface="Cambria Math" panose="02040503050406030204" pitchFamily="18" charset="0"/>
                  <a:ea typeface="Cambria Math" panose="02040503050406030204" pitchFamily="18" charset="0"/>
                </a:rPr>
                <a:t>×100</a:t>
              </a:r>
              <a:endParaRPr kumimoji="1" lang="ja-JP" altLang="en-US" sz="1100">
                <a:latin typeface="Cambria Math" panose="02040503050406030204" pitchFamily="18" charset="0"/>
              </a:endParaRPr>
            </a:p>
          </xdr:txBody>
        </xdr:sp>
      </mc:Fallback>
    </mc:AlternateContent>
    <xdr:clientData/>
  </xdr:oneCellAnchor>
  <xdr:twoCellAnchor editAs="oneCell">
    <xdr:from>
      <xdr:col>1</xdr:col>
      <xdr:colOff>15240</xdr:colOff>
      <xdr:row>120</xdr:row>
      <xdr:rowOff>0</xdr:rowOff>
    </xdr:from>
    <xdr:to>
      <xdr:col>7</xdr:col>
      <xdr:colOff>322450</xdr:colOff>
      <xdr:row>131</xdr:row>
      <xdr:rowOff>21229</xdr:rowOff>
    </xdr:to>
    <xdr:pic>
      <xdr:nvPicPr>
        <xdr:cNvPr id="1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25862280"/>
          <a:ext cx="3832860" cy="2116729"/>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0</xdr:colOff>
      <xdr:row>107</xdr:row>
      <xdr:rowOff>76200</xdr:rowOff>
    </xdr:from>
    <xdr:to>
      <xdr:col>7</xdr:col>
      <xdr:colOff>307210</xdr:colOff>
      <xdr:row>118</xdr:row>
      <xdr:rowOff>97429</xdr:rowOff>
    </xdr:to>
    <xdr:pic>
      <xdr:nvPicPr>
        <xdr:cNvPr id="20"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 y="23317200"/>
          <a:ext cx="3832860" cy="2116729"/>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4</xdr:col>
      <xdr:colOff>97394</xdr:colOff>
      <xdr:row>22</xdr:row>
      <xdr:rowOff>27536</xdr:rowOff>
    </xdr:from>
    <xdr:to>
      <xdr:col>7</xdr:col>
      <xdr:colOff>219506</xdr:colOff>
      <xdr:row>24</xdr:row>
      <xdr:rowOff>103279</xdr:rowOff>
    </xdr:to>
    <xdr:pic>
      <xdr:nvPicPr>
        <xdr:cNvPr id="21" name="図 20"/>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2478644" y="4275686"/>
          <a:ext cx="2198562" cy="45674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426720</xdr:colOff>
      <xdr:row>22</xdr:row>
      <xdr:rowOff>0</xdr:rowOff>
    </xdr:from>
    <xdr:to>
      <xdr:col>3</xdr:col>
      <xdr:colOff>331298</xdr:colOff>
      <xdr:row>24</xdr:row>
      <xdr:rowOff>127296</xdr:rowOff>
    </xdr:to>
    <xdr:pic>
      <xdr:nvPicPr>
        <xdr:cNvPr id="23" name="図 22"/>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2794" r="42372"/>
        <a:stretch/>
      </xdr:blipFill>
      <xdr:spPr bwMode="auto">
        <a:xfrm>
          <a:off x="988695" y="4248150"/>
          <a:ext cx="1047578" cy="50829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76200</xdr:colOff>
      <xdr:row>37</xdr:row>
      <xdr:rowOff>142875</xdr:rowOff>
    </xdr:from>
    <xdr:to>
      <xdr:col>2</xdr:col>
      <xdr:colOff>710004</xdr:colOff>
      <xdr:row>37</xdr:row>
      <xdr:rowOff>352739</xdr:rowOff>
    </xdr:to>
    <xdr:pic>
      <xdr:nvPicPr>
        <xdr:cNvPr id="24" name="図 23"/>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1066800" y="7305675"/>
          <a:ext cx="633804"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504825</xdr:colOff>
      <xdr:row>37</xdr:row>
      <xdr:rowOff>16809</xdr:rowOff>
    </xdr:from>
    <xdr:to>
      <xdr:col>5</xdr:col>
      <xdr:colOff>546298</xdr:colOff>
      <xdr:row>37</xdr:row>
      <xdr:rowOff>484293</xdr:rowOff>
    </xdr:to>
    <xdr:pic>
      <xdr:nvPicPr>
        <xdr:cNvPr id="25" name="図 24"/>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6640"/>
        <a:stretch/>
      </xdr:blipFill>
      <xdr:spPr bwMode="auto">
        <a:xfrm>
          <a:off x="2209800" y="7179609"/>
          <a:ext cx="1422598" cy="46748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158750</xdr:colOff>
      <xdr:row>43</xdr:row>
      <xdr:rowOff>185738</xdr:rowOff>
    </xdr:from>
    <xdr:to>
      <xdr:col>10</xdr:col>
      <xdr:colOff>107668</xdr:colOff>
      <xdr:row>43</xdr:row>
      <xdr:rowOff>848046</xdr:rowOff>
    </xdr:to>
    <xdr:pic>
      <xdr:nvPicPr>
        <xdr:cNvPr id="26" name="図 25"/>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5391"/>
        <a:stretch/>
      </xdr:blipFill>
      <xdr:spPr bwMode="auto">
        <a:xfrm>
          <a:off x="720725" y="8739188"/>
          <a:ext cx="5797268" cy="66230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310315</xdr:colOff>
      <xdr:row>84</xdr:row>
      <xdr:rowOff>131846</xdr:rowOff>
    </xdr:from>
    <xdr:to>
      <xdr:col>3</xdr:col>
      <xdr:colOff>482908</xdr:colOff>
      <xdr:row>85</xdr:row>
      <xdr:rowOff>122635</xdr:rowOff>
    </xdr:to>
    <xdr:pic>
      <xdr:nvPicPr>
        <xdr:cNvPr id="13" name="図 1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943" r="44284" b="-38"/>
        <a:stretch/>
      </xdr:blipFill>
      <xdr:spPr bwMode="auto">
        <a:xfrm>
          <a:off x="1110415" y="17181596"/>
          <a:ext cx="629793"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243477</xdr:colOff>
      <xdr:row>70</xdr:row>
      <xdr:rowOff>279752</xdr:rowOff>
    </xdr:from>
    <xdr:to>
      <xdr:col>4</xdr:col>
      <xdr:colOff>621385</xdr:colOff>
      <xdr:row>72</xdr:row>
      <xdr:rowOff>211716</xdr:rowOff>
    </xdr:to>
    <xdr:pic>
      <xdr:nvPicPr>
        <xdr:cNvPr id="14"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648" r="32536"/>
        <a:stretch>
          <a:fillRect/>
        </a:stretch>
      </xdr:blipFill>
      <xdr:spPr bwMode="auto">
        <a:xfrm>
          <a:off x="634503" y="13654857"/>
          <a:ext cx="2335546" cy="513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266700</xdr:colOff>
      <xdr:row>30</xdr:row>
      <xdr:rowOff>113188</xdr:rowOff>
    </xdr:from>
    <xdr:ext cx="352424" cy="270202"/>
    <mc:AlternateContent xmlns:mc="http://schemas.openxmlformats.org/markup-compatibility/2006" xmlns:a14="http://schemas.microsoft.com/office/drawing/2010/main">
      <mc:Choice Requires="a14">
        <xdr:sp macro="" textlink="">
          <xdr:nvSpPr>
            <xdr:cNvPr id="2" name="テキスト ボックス 1"/>
            <xdr:cNvSpPr txBox="1"/>
          </xdr:nvSpPr>
          <xdr:spPr>
            <a:xfrm>
              <a:off x="9906000"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h𝐻</m:t>
                        </m:r>
                      </m:sub>
                    </m:sSub>
                  </m:oMath>
                </m:oMathPara>
              </a14:m>
              <a:endParaRPr kumimoji="1" lang="ja-JP" altLang="en-US" sz="1100"/>
            </a:p>
          </xdr:txBody>
        </xdr:sp>
      </mc:Choice>
      <mc:Fallback xmlns="">
        <xdr:sp macro="" textlink="">
          <xdr:nvSpPr>
            <xdr:cNvPr id="2" name="テキスト ボックス 1"/>
            <xdr:cNvSpPr txBox="1"/>
          </xdr:nvSpPr>
          <xdr:spPr>
            <a:xfrm>
              <a:off x="9906000"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ℎ𝐻</a:t>
              </a:r>
              <a:endParaRPr kumimoji="1" lang="ja-JP" altLang="en-US" sz="1100"/>
            </a:p>
          </xdr:txBody>
        </xdr:sp>
      </mc:Fallback>
    </mc:AlternateContent>
    <xdr:clientData/>
  </xdr:oneCellAnchor>
  <xdr:oneCellAnchor>
    <xdr:from>
      <xdr:col>17</xdr:col>
      <xdr:colOff>276225</xdr:colOff>
      <xdr:row>30</xdr:row>
      <xdr:rowOff>113188</xdr:rowOff>
    </xdr:from>
    <xdr:ext cx="352424" cy="270202"/>
    <mc:AlternateContent xmlns:mc="http://schemas.openxmlformats.org/markup-compatibility/2006" xmlns:a14="http://schemas.microsoft.com/office/drawing/2010/main">
      <mc:Choice Requires="a14">
        <xdr:sp macro="" textlink="">
          <xdr:nvSpPr>
            <xdr:cNvPr id="15" name="テキスト ボックス 14"/>
            <xdr:cNvSpPr txBox="1"/>
          </xdr:nvSpPr>
          <xdr:spPr>
            <a:xfrm>
              <a:off x="10601325"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h𝐶</m:t>
                        </m:r>
                      </m:sub>
                    </m:sSub>
                  </m:oMath>
                </m:oMathPara>
              </a14:m>
              <a:endParaRPr kumimoji="1" lang="ja-JP" altLang="en-US" sz="1100"/>
            </a:p>
          </xdr:txBody>
        </xdr:sp>
      </mc:Choice>
      <mc:Fallback xmlns="">
        <xdr:sp macro="" textlink="">
          <xdr:nvSpPr>
            <xdr:cNvPr id="15" name="テキスト ボックス 14"/>
            <xdr:cNvSpPr txBox="1"/>
          </xdr:nvSpPr>
          <xdr:spPr>
            <a:xfrm>
              <a:off x="10601325"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ℎ𝐶</a:t>
              </a:r>
              <a:endParaRPr kumimoji="1" lang="ja-JP" altLang="en-US" sz="1100"/>
            </a:p>
          </xdr:txBody>
        </xdr:sp>
      </mc:Fallback>
    </mc:AlternateContent>
    <xdr:clientData/>
  </xdr:oneCellAnchor>
  <xdr:oneCellAnchor>
    <xdr:from>
      <xdr:col>18</xdr:col>
      <xdr:colOff>276225</xdr:colOff>
      <xdr:row>30</xdr:row>
      <xdr:rowOff>113188</xdr:rowOff>
    </xdr:from>
    <xdr:ext cx="352424" cy="270202"/>
    <mc:AlternateContent xmlns:mc="http://schemas.openxmlformats.org/markup-compatibility/2006" xmlns:a14="http://schemas.microsoft.com/office/drawing/2010/main">
      <mc:Choice Requires="a14">
        <xdr:sp macro="" textlink="">
          <xdr:nvSpPr>
            <xdr:cNvPr id="16" name="テキスト ボックス 15"/>
            <xdr:cNvSpPr txBox="1"/>
          </xdr:nvSpPr>
          <xdr:spPr>
            <a:xfrm>
              <a:off x="11287125"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m:t>
                        </m:r>
                      </m:sub>
                    </m:sSub>
                  </m:oMath>
                </m:oMathPara>
              </a14:m>
              <a:endParaRPr kumimoji="1" lang="ja-JP" altLang="en-US" sz="1100"/>
            </a:p>
          </xdr:txBody>
        </xdr:sp>
      </mc:Choice>
      <mc:Fallback xmlns="">
        <xdr:sp macro="" textlink="">
          <xdr:nvSpPr>
            <xdr:cNvPr id="16" name="テキスト ボックス 15"/>
            <xdr:cNvSpPr txBox="1"/>
          </xdr:nvSpPr>
          <xdr:spPr>
            <a:xfrm>
              <a:off x="11287125" y="6447313"/>
              <a:ext cx="352424"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a:t>
              </a:r>
              <a:endParaRPr kumimoji="1" lang="ja-JP" altLang="en-US" sz="1100"/>
            </a:p>
          </xdr:txBody>
        </xdr:sp>
      </mc:Fallback>
    </mc:AlternateContent>
    <xdr:clientData/>
  </xdr:oneCellAnchor>
  <xdr:twoCellAnchor editAs="oneCell">
    <xdr:from>
      <xdr:col>1</xdr:col>
      <xdr:colOff>179471</xdr:colOff>
      <xdr:row>32</xdr:row>
      <xdr:rowOff>14817</xdr:rowOff>
    </xdr:from>
    <xdr:to>
      <xdr:col>2</xdr:col>
      <xdr:colOff>349618</xdr:colOff>
      <xdr:row>33</xdr:row>
      <xdr:rowOff>10372</xdr:rowOff>
    </xdr:to>
    <xdr:pic>
      <xdr:nvPicPr>
        <xdr:cNvPr id="17" name="図 16"/>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6051" t="28419" r="55756" b="24772"/>
        <a:stretch/>
      </xdr:blipFill>
      <xdr:spPr bwMode="auto">
        <a:xfrm>
          <a:off x="528721" y="7158567"/>
          <a:ext cx="529980" cy="2178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282296</xdr:colOff>
      <xdr:row>50</xdr:row>
      <xdr:rowOff>92076</xdr:rowOff>
    </xdr:from>
    <xdr:to>
      <xdr:col>3</xdr:col>
      <xdr:colOff>700126</xdr:colOff>
      <xdr:row>53</xdr:row>
      <xdr:rowOff>23919</xdr:rowOff>
    </xdr:to>
    <xdr:pic>
      <xdr:nvPicPr>
        <xdr:cNvPr id="21" name="図 20"/>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0688" r="40213"/>
        <a:stretch/>
      </xdr:blipFill>
      <xdr:spPr bwMode="auto">
        <a:xfrm>
          <a:off x="631546" y="10347326"/>
          <a:ext cx="1232747" cy="471593"/>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20142</xdr:colOff>
      <xdr:row>38</xdr:row>
      <xdr:rowOff>91015</xdr:rowOff>
    </xdr:from>
    <xdr:to>
      <xdr:col>6</xdr:col>
      <xdr:colOff>56600</xdr:colOff>
      <xdr:row>42</xdr:row>
      <xdr:rowOff>23283</xdr:rowOff>
    </xdr:to>
    <xdr:grpSp>
      <xdr:nvGrpSpPr>
        <xdr:cNvPr id="5" name="グループ化 4"/>
        <xdr:cNvGrpSpPr/>
      </xdr:nvGrpSpPr>
      <xdr:grpSpPr>
        <a:xfrm>
          <a:off x="20142" y="7739590"/>
          <a:ext cx="3751208" cy="494243"/>
          <a:chOff x="41502" y="7901176"/>
          <a:chExt cx="3712603" cy="403070"/>
        </a:xfrm>
      </xdr:grpSpPr>
      <xdr:pic>
        <xdr:nvPicPr>
          <xdr:cNvPr id="18" name="図 17"/>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892" r="36774"/>
          <a:stretch/>
        </xdr:blipFill>
        <xdr:spPr bwMode="auto">
          <a:xfrm>
            <a:off x="415657" y="7901473"/>
            <a:ext cx="1420285" cy="385223"/>
          </a:xfrm>
          <a:prstGeom prst="rect">
            <a:avLst/>
          </a:prstGeom>
          <a:noFill/>
          <a:ln>
            <a:noFill/>
          </a:ln>
          <a:extLst>
            <a:ext uri="{53640926-AAD7-44D8-BBD7-CCE9431645EC}">
              <a14:shadowObscured xmlns:a14="http://schemas.microsoft.com/office/drawing/2010/main"/>
            </a:ext>
          </a:extLst>
        </xdr:spPr>
      </xdr:pic>
      <xdr:pic>
        <xdr:nvPicPr>
          <xdr:cNvPr id="20" name="図 19"/>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7248" r="37010"/>
          <a:stretch/>
        </xdr:blipFill>
        <xdr:spPr bwMode="auto">
          <a:xfrm>
            <a:off x="2303417" y="7901176"/>
            <a:ext cx="1450688" cy="403070"/>
          </a:xfrm>
          <a:prstGeom prst="rect">
            <a:avLst/>
          </a:prstGeom>
          <a:noFill/>
          <a:ln>
            <a:noFill/>
          </a:ln>
          <a:extLst>
            <a:ext uri="{53640926-AAD7-44D8-BBD7-CCE9431645EC}">
              <a14:shadowObscured xmlns:a14="http://schemas.microsoft.com/office/drawing/2010/main"/>
            </a:ext>
          </a:extLst>
        </xdr:spPr>
      </xdr:pic>
      <xdr:sp macro="" textlink="">
        <xdr:nvSpPr>
          <xdr:cNvPr id="3" name="テキスト ボックス 2"/>
          <xdr:cNvSpPr txBox="1"/>
        </xdr:nvSpPr>
        <xdr:spPr>
          <a:xfrm>
            <a:off x="41502" y="7988367"/>
            <a:ext cx="508357" cy="21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給湯：</a:t>
            </a:r>
          </a:p>
        </xdr:txBody>
      </xdr:sp>
      <xdr:sp macro="" textlink="">
        <xdr:nvSpPr>
          <xdr:cNvPr id="27" name="テキスト ボックス 26"/>
          <xdr:cNvSpPr txBox="1"/>
        </xdr:nvSpPr>
        <xdr:spPr>
          <a:xfrm>
            <a:off x="1951453" y="7997147"/>
            <a:ext cx="508357" cy="21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給水：</a:t>
            </a:r>
          </a:p>
        </xdr:txBody>
      </xdr:sp>
    </xdr:grpSp>
    <xdr:clientData/>
  </xdr:twoCellAnchor>
  <xdr:twoCellAnchor>
    <xdr:from>
      <xdr:col>0</xdr:col>
      <xdr:colOff>35957</xdr:colOff>
      <xdr:row>44</xdr:row>
      <xdr:rowOff>128776</xdr:rowOff>
    </xdr:from>
    <xdr:to>
      <xdr:col>6</xdr:col>
      <xdr:colOff>50011</xdr:colOff>
      <xdr:row>48</xdr:row>
      <xdr:rowOff>76200</xdr:rowOff>
    </xdr:to>
    <xdr:grpSp>
      <xdr:nvGrpSpPr>
        <xdr:cNvPr id="4" name="グループ化 3"/>
        <xdr:cNvGrpSpPr/>
      </xdr:nvGrpSpPr>
      <xdr:grpSpPr>
        <a:xfrm>
          <a:off x="35957" y="8796526"/>
          <a:ext cx="3728804" cy="528449"/>
          <a:chOff x="36156" y="8625982"/>
          <a:chExt cx="3690124" cy="384509"/>
        </a:xfrm>
      </xdr:grpSpPr>
      <xdr:pic>
        <xdr:nvPicPr>
          <xdr:cNvPr id="22" name="図 2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7367" r="36892"/>
          <a:stretch/>
        </xdr:blipFill>
        <xdr:spPr bwMode="auto">
          <a:xfrm>
            <a:off x="2423068" y="8643925"/>
            <a:ext cx="1303212" cy="363242"/>
          </a:xfrm>
          <a:prstGeom prst="rect">
            <a:avLst/>
          </a:prstGeom>
          <a:noFill/>
          <a:ln>
            <a:noFill/>
          </a:ln>
          <a:extLst>
            <a:ext uri="{53640926-AAD7-44D8-BBD7-CCE9431645EC}">
              <a14:shadowObscured xmlns:a14="http://schemas.microsoft.com/office/drawing/2010/main"/>
            </a:ext>
          </a:extLst>
        </xdr:spPr>
      </xdr:pic>
      <xdr:pic>
        <xdr:nvPicPr>
          <xdr:cNvPr id="26" name="図 25"/>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37011" r="36655"/>
          <a:stretch/>
        </xdr:blipFill>
        <xdr:spPr bwMode="auto">
          <a:xfrm>
            <a:off x="475083" y="8625982"/>
            <a:ext cx="1413553" cy="384509"/>
          </a:xfrm>
          <a:prstGeom prst="rect">
            <a:avLst/>
          </a:prstGeom>
          <a:noFill/>
          <a:ln>
            <a:noFill/>
          </a:ln>
          <a:extLst>
            <a:ext uri="{53640926-AAD7-44D8-BBD7-CCE9431645EC}">
              <a14:shadowObscured xmlns:a14="http://schemas.microsoft.com/office/drawing/2010/main"/>
            </a:ext>
          </a:extLst>
        </xdr:spPr>
      </xdr:pic>
      <xdr:sp macro="" textlink="">
        <xdr:nvSpPr>
          <xdr:cNvPr id="28" name="テキスト ボックス 27"/>
          <xdr:cNvSpPr txBox="1"/>
        </xdr:nvSpPr>
        <xdr:spPr>
          <a:xfrm>
            <a:off x="2005786" y="8714198"/>
            <a:ext cx="508357" cy="21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給水：</a:t>
            </a:r>
          </a:p>
        </xdr:txBody>
      </xdr:sp>
      <xdr:sp macro="" textlink="">
        <xdr:nvSpPr>
          <xdr:cNvPr id="29" name="テキスト ボックス 28"/>
          <xdr:cNvSpPr txBox="1"/>
        </xdr:nvSpPr>
        <xdr:spPr>
          <a:xfrm>
            <a:off x="36156" y="8698241"/>
            <a:ext cx="508357" cy="21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給湯：</a:t>
            </a:r>
          </a:p>
        </xdr:txBody>
      </xdr:sp>
    </xdr:grpSp>
    <xdr:clientData/>
  </xdr:twoCellAnchor>
  <xdr:twoCellAnchor editAs="oneCell">
    <xdr:from>
      <xdr:col>3</xdr:col>
      <xdr:colOff>800601</xdr:colOff>
      <xdr:row>83</xdr:row>
      <xdr:rowOff>276726</xdr:rowOff>
    </xdr:from>
    <xdr:to>
      <xdr:col>5</xdr:col>
      <xdr:colOff>258041</xdr:colOff>
      <xdr:row>86</xdr:row>
      <xdr:rowOff>27329</xdr:rowOff>
    </xdr:to>
    <xdr:pic>
      <xdr:nvPicPr>
        <xdr:cNvPr id="23" name="図 22"/>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r="76640"/>
        <a:stretch/>
      </xdr:blipFill>
      <xdr:spPr bwMode="auto">
        <a:xfrm>
          <a:off x="2057901" y="17040726"/>
          <a:ext cx="1419590" cy="46497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50</xdr:row>
      <xdr:rowOff>0</xdr:rowOff>
    </xdr:from>
    <xdr:to>
      <xdr:col>10</xdr:col>
      <xdr:colOff>91072</xdr:colOff>
      <xdr:row>50</xdr:row>
      <xdr:rowOff>0</xdr:rowOff>
    </xdr:to>
    <xdr:sp macro="" textlink="">
      <xdr:nvSpPr>
        <xdr:cNvPr id="3110" name="Text Box 1062"/>
        <xdr:cNvSpPr txBox="1">
          <a:spLocks noChangeArrowheads="1"/>
        </xdr:cNvSpPr>
      </xdr:nvSpPr>
      <xdr:spPr bwMode="auto">
        <a:xfrm>
          <a:off x="3067050" y="10563225"/>
          <a:ext cx="6953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測定位置</a:t>
          </a:r>
          <a:endParaRPr lang="ja-JP" altLang="en-US"/>
        </a:p>
      </xdr:txBody>
    </xdr:sp>
    <xdr:clientData/>
  </xdr:twoCellAnchor>
  <xdr:oneCellAnchor>
    <xdr:from>
      <xdr:col>2</xdr:col>
      <xdr:colOff>552450</xdr:colOff>
      <xdr:row>43</xdr:row>
      <xdr:rowOff>0</xdr:rowOff>
    </xdr:from>
    <xdr:ext cx="65" cy="366275"/>
    <xdr:sp macro="" textlink="">
      <xdr:nvSpPr>
        <xdr:cNvPr id="3118" name="Text Box 1070"/>
        <xdr:cNvSpPr txBox="1">
          <a:spLocks noChangeArrowheads="1"/>
        </xdr:cNvSpPr>
      </xdr:nvSpPr>
      <xdr:spPr bwMode="auto">
        <a:xfrm>
          <a:off x="448056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xdr:oneCellAnchor>
    <xdr:from>
      <xdr:col>3</xdr:col>
      <xdr:colOff>0</xdr:colOff>
      <xdr:row>43</xdr:row>
      <xdr:rowOff>0</xdr:rowOff>
    </xdr:from>
    <xdr:ext cx="65" cy="366275"/>
    <xdr:sp macro="" textlink="">
      <xdr:nvSpPr>
        <xdr:cNvPr id="3120" name="Text Box 1072"/>
        <xdr:cNvSpPr txBox="1">
          <a:spLocks noChangeArrowheads="1"/>
        </xdr:cNvSpPr>
      </xdr:nvSpPr>
      <xdr:spPr bwMode="auto">
        <a:xfrm>
          <a:off x="449580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xdr:oneCellAnchor>
    <xdr:from>
      <xdr:col>2</xdr:col>
      <xdr:colOff>0</xdr:colOff>
      <xdr:row>43</xdr:row>
      <xdr:rowOff>0</xdr:rowOff>
    </xdr:from>
    <xdr:ext cx="65" cy="366275"/>
    <xdr:sp macro="" textlink="">
      <xdr:nvSpPr>
        <xdr:cNvPr id="3170" name="Text Box 1122"/>
        <xdr:cNvSpPr txBox="1">
          <a:spLocks noChangeArrowheads="1"/>
        </xdr:cNvSpPr>
      </xdr:nvSpPr>
      <xdr:spPr bwMode="auto">
        <a:xfrm>
          <a:off x="398526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mc:AlternateContent xmlns:mc="http://schemas.openxmlformats.org/markup-compatibility/2006">
    <mc:Choice xmlns:a14="http://schemas.microsoft.com/office/drawing/2010/main" Requires="a14">
      <xdr:twoCellAnchor>
        <xdr:from>
          <xdr:col>16</xdr:col>
          <xdr:colOff>0</xdr:colOff>
          <xdr:row>11</xdr:row>
          <xdr:rowOff>0</xdr:rowOff>
        </xdr:from>
        <xdr:to>
          <xdr:col>23</xdr:col>
          <xdr:colOff>19050</xdr:colOff>
          <xdr:row>15</xdr:row>
          <xdr:rowOff>180975</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twoCellAnchor editAs="oneCell">
    <xdr:from>
      <xdr:col>1</xdr:col>
      <xdr:colOff>285750</xdr:colOff>
      <xdr:row>6</xdr:row>
      <xdr:rowOff>193783</xdr:rowOff>
    </xdr:from>
    <xdr:to>
      <xdr:col>2</xdr:col>
      <xdr:colOff>496570</xdr:colOff>
      <xdr:row>7</xdr:row>
      <xdr:rowOff>163831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060" r="43535"/>
        <a:stretch/>
      </xdr:blipFill>
      <xdr:spPr bwMode="auto">
        <a:xfrm>
          <a:off x="847725" y="1479658"/>
          <a:ext cx="963295" cy="25579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254</xdr:row>
      <xdr:rowOff>0</xdr:rowOff>
    </xdr:from>
    <xdr:ext cx="1771650" cy="420212"/>
    <mc:AlternateContent xmlns:mc="http://schemas.openxmlformats.org/markup-compatibility/2006" xmlns:a14="http://schemas.microsoft.com/office/drawing/2010/main">
      <mc:Choice Requires="a14">
        <xdr:sp macro="" textlink="">
          <xdr:nvSpPr>
            <xdr:cNvPr id="40" name="テキスト ボックス 39"/>
            <xdr:cNvSpPr txBox="1"/>
          </xdr:nvSpPr>
          <xdr:spPr>
            <a:xfrm>
              <a:off x="2552700" y="46891575"/>
              <a:ext cx="177165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m:rPr>
                        <m:sty m:val="p"/>
                      </m:rPr>
                      <a:rPr lang="en-US" altLang="ja-JP" sz="1100">
                        <a:solidFill>
                          <a:schemeClr val="tx1"/>
                        </a:solidFill>
                        <a:effectLst/>
                        <a:latin typeface="Cambria Math"/>
                        <a:ea typeface="+mn-ea"/>
                        <a:cs typeface="+mn-cs"/>
                      </a:rPr>
                      <m:t>α</m:t>
                    </m:r>
                    <m:r>
                      <a:rPr lang="en-US" altLang="ja-JP" sz="1100">
                        <a:solidFill>
                          <a:schemeClr val="tx1"/>
                        </a:solidFill>
                        <a:effectLst/>
                        <a:latin typeface="Cambria Math"/>
                        <a:ea typeface="+mn-ea"/>
                        <a:cs typeface="+mn-cs"/>
                      </a:rPr>
                      <m:t>=7.203</m:t>
                    </m:r>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1735.74</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G</m:t>
                            </m:r>
                          </m:sub>
                        </m:sSub>
                        <m:r>
                          <a:rPr lang="en-US" altLang="ja-JP" sz="1100" i="1">
                            <a:solidFill>
                              <a:schemeClr val="tx1"/>
                            </a:solidFill>
                            <a:effectLst/>
                            <a:latin typeface="Cambria Math"/>
                            <a:ea typeface="+mn-ea"/>
                            <a:cs typeface="+mn-cs"/>
                          </a:rPr>
                          <m:t>+234</m:t>
                        </m:r>
                      </m:den>
                    </m:f>
                  </m:oMath>
                </m:oMathPara>
              </a14:m>
              <a:endParaRPr kumimoji="1" lang="ja-JP" altLang="en-US" sz="1400">
                <a:latin typeface="+mj-lt"/>
              </a:endParaRPr>
            </a:p>
          </xdr:txBody>
        </xdr:sp>
      </mc:Choice>
      <mc:Fallback xmlns="">
        <xdr:sp macro="" textlink="">
          <xdr:nvSpPr>
            <xdr:cNvPr id="40" name="テキスト ボックス 39"/>
            <xdr:cNvSpPr txBox="1"/>
          </xdr:nvSpPr>
          <xdr:spPr>
            <a:xfrm>
              <a:off x="2552700" y="46891575"/>
              <a:ext cx="177165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altLang="ja-JP" sz="1100" i="0">
                  <a:solidFill>
                    <a:schemeClr val="tx1"/>
                  </a:solidFill>
                  <a:effectLst/>
                  <a:latin typeface="Cambria Math"/>
                  <a:ea typeface="+mn-ea"/>
                  <a:cs typeface="+mn-cs"/>
                </a:rPr>
                <a:t>α=7.203−1735.74</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G+234</a:t>
              </a:r>
              <a:r>
                <a:rPr lang="ja-JP" altLang="ja-JP" sz="1100" i="0">
                  <a:solidFill>
                    <a:schemeClr val="tx1"/>
                  </a:solidFill>
                  <a:effectLst/>
                  <a:latin typeface="Cambria Math"/>
                  <a:ea typeface="+mn-ea"/>
                  <a:cs typeface="+mn-cs"/>
                </a:rPr>
                <a:t>)</a:t>
              </a:r>
              <a:endParaRPr kumimoji="1" lang="ja-JP" altLang="en-US" sz="1400">
                <a:latin typeface="+mj-lt"/>
              </a:endParaRPr>
            </a:p>
          </xdr:txBody>
        </xdr:sp>
      </mc:Fallback>
    </mc:AlternateContent>
    <xdr:clientData/>
  </xdr:oneCellAnchor>
  <xdr:twoCellAnchor editAs="oneCell">
    <xdr:from>
      <xdr:col>2</xdr:col>
      <xdr:colOff>142875</xdr:colOff>
      <xdr:row>127</xdr:row>
      <xdr:rowOff>133350</xdr:rowOff>
    </xdr:from>
    <xdr:to>
      <xdr:col>3</xdr:col>
      <xdr:colOff>24204</xdr:colOff>
      <xdr:row>128</xdr:row>
      <xdr:rowOff>111967</xdr:rowOff>
    </xdr:to>
    <xdr:pic>
      <xdr:nvPicPr>
        <xdr:cNvPr id="25" name="図 2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943" r="44284" b="-38"/>
        <a:stretch/>
      </xdr:blipFill>
      <xdr:spPr bwMode="auto">
        <a:xfrm>
          <a:off x="1114425" y="20364450"/>
          <a:ext cx="633804" cy="20880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9525</xdr:colOff>
      <xdr:row>254</xdr:row>
      <xdr:rowOff>133350</xdr:rowOff>
    </xdr:from>
    <xdr:to>
      <xdr:col>3</xdr:col>
      <xdr:colOff>643329</xdr:colOff>
      <xdr:row>255</xdr:row>
      <xdr:rowOff>145305</xdr:rowOff>
    </xdr:to>
    <xdr:pic>
      <xdr:nvPicPr>
        <xdr:cNvPr id="26" name="図 2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943" r="44284" b="-38"/>
        <a:stretch/>
      </xdr:blipFill>
      <xdr:spPr bwMode="auto">
        <a:xfrm>
          <a:off x="1732587" y="46409867"/>
          <a:ext cx="633804" cy="20483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142875</xdr:colOff>
      <xdr:row>113</xdr:row>
      <xdr:rowOff>28575</xdr:rowOff>
    </xdr:from>
    <xdr:to>
      <xdr:col>4</xdr:col>
      <xdr:colOff>693859</xdr:colOff>
      <xdr:row>115</xdr:row>
      <xdr:rowOff>67422</xdr:rowOff>
    </xdr:to>
    <xdr:pic>
      <xdr:nvPicPr>
        <xdr:cNvPr id="37" name="図 3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638175" y="16849725"/>
          <a:ext cx="2503609" cy="52647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151644</xdr:colOff>
      <xdr:row>235</xdr:row>
      <xdr:rowOff>866776</xdr:rowOff>
    </xdr:from>
    <xdr:to>
      <xdr:col>2</xdr:col>
      <xdr:colOff>669632</xdr:colOff>
      <xdr:row>238</xdr:row>
      <xdr:rowOff>18749</xdr:rowOff>
    </xdr:to>
    <xdr:pic>
      <xdr:nvPicPr>
        <xdr:cNvPr id="46" name="図 45"/>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693" r="43721"/>
        <a:stretch/>
      </xdr:blipFill>
      <xdr:spPr bwMode="auto">
        <a:xfrm>
          <a:off x="646944" y="44738926"/>
          <a:ext cx="994238" cy="5574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xdr:colOff>
      <xdr:row>239</xdr:row>
      <xdr:rowOff>192202</xdr:rowOff>
    </xdr:from>
    <xdr:to>
      <xdr:col>4</xdr:col>
      <xdr:colOff>576602</xdr:colOff>
      <xdr:row>242</xdr:row>
      <xdr:rowOff>92452</xdr:rowOff>
    </xdr:to>
    <xdr:pic>
      <xdr:nvPicPr>
        <xdr:cNvPr id="47" name="図 4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511969" y="55127640"/>
          <a:ext cx="2517321" cy="531281"/>
        </a:xfrm>
        <a:prstGeom prst="rect">
          <a:avLst/>
        </a:prstGeom>
        <a:noFill/>
        <a:ln>
          <a:noFill/>
        </a:ln>
        <a:extLst>
          <a:ext uri="{53640926-AAD7-44D8-BBD7-CCE9431645EC}">
            <a14:shadowObscured xmlns:a14="http://schemas.microsoft.com/office/drawing/2010/main"/>
          </a:ext>
        </a:extLst>
      </xdr:spPr>
    </xdr:pic>
    <xdr:clientData/>
  </xdr:twoCellAnchor>
  <xdr:oneCellAnchor>
    <xdr:from>
      <xdr:col>15</xdr:col>
      <xdr:colOff>238125</xdr:colOff>
      <xdr:row>26</xdr:row>
      <xdr:rowOff>141763</xdr:rowOff>
    </xdr:from>
    <xdr:ext cx="438148" cy="264944"/>
    <mc:AlternateContent xmlns:mc="http://schemas.openxmlformats.org/markup-compatibility/2006" xmlns:a14="http://schemas.microsoft.com/office/drawing/2010/main">
      <mc:Choice Requires="a14">
        <xdr:sp macro="" textlink="">
          <xdr:nvSpPr>
            <xdr:cNvPr id="5" name="テキスト ボックス 4"/>
            <xdr:cNvSpPr txBox="1"/>
          </xdr:nvSpPr>
          <xdr:spPr>
            <a:xfrm>
              <a:off x="9772650" y="5475763"/>
              <a:ext cx="438148"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h𝐻</m:t>
                        </m:r>
                      </m:sub>
                    </m:sSub>
                  </m:oMath>
                </m:oMathPara>
              </a14:m>
              <a:endParaRPr kumimoji="1" lang="ja-JP" altLang="en-US" sz="1100"/>
            </a:p>
          </xdr:txBody>
        </xdr:sp>
      </mc:Choice>
      <mc:Fallback xmlns="">
        <xdr:sp macro="" textlink="">
          <xdr:nvSpPr>
            <xdr:cNvPr id="5" name="テキスト ボックス 4"/>
            <xdr:cNvSpPr txBox="1"/>
          </xdr:nvSpPr>
          <xdr:spPr>
            <a:xfrm>
              <a:off x="9772650" y="5475763"/>
              <a:ext cx="438148"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ℎ𝐻</a:t>
              </a:r>
              <a:endParaRPr kumimoji="1" lang="ja-JP" altLang="en-US" sz="1100"/>
            </a:p>
          </xdr:txBody>
        </xdr:sp>
      </mc:Fallback>
    </mc:AlternateContent>
    <xdr:clientData/>
  </xdr:oneCellAnchor>
  <xdr:oneCellAnchor>
    <xdr:from>
      <xdr:col>16</xdr:col>
      <xdr:colOff>219075</xdr:colOff>
      <xdr:row>26</xdr:row>
      <xdr:rowOff>141763</xdr:rowOff>
    </xdr:from>
    <xdr:ext cx="438148" cy="264560"/>
    <mc:AlternateContent xmlns:mc="http://schemas.openxmlformats.org/markup-compatibility/2006" xmlns:a14="http://schemas.microsoft.com/office/drawing/2010/main">
      <mc:Choice Requires="a14">
        <xdr:sp macro="" textlink="">
          <xdr:nvSpPr>
            <xdr:cNvPr id="27" name="テキスト ボックス 26"/>
            <xdr:cNvSpPr txBox="1"/>
          </xdr:nvSpPr>
          <xdr:spPr>
            <a:xfrm>
              <a:off x="10439400" y="5475763"/>
              <a:ext cx="4381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h𝐶</m:t>
                        </m:r>
                      </m:sub>
                    </m:sSub>
                  </m:oMath>
                </m:oMathPara>
              </a14:m>
              <a:endParaRPr kumimoji="1" lang="ja-JP" altLang="en-US" sz="1100"/>
            </a:p>
          </xdr:txBody>
        </xdr:sp>
      </mc:Choice>
      <mc:Fallback xmlns="">
        <xdr:sp macro="" textlink="">
          <xdr:nvSpPr>
            <xdr:cNvPr id="27" name="テキスト ボックス 26"/>
            <xdr:cNvSpPr txBox="1"/>
          </xdr:nvSpPr>
          <xdr:spPr>
            <a:xfrm>
              <a:off x="10439400" y="5475763"/>
              <a:ext cx="4381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ℎ𝐶</a:t>
              </a:r>
              <a:endParaRPr kumimoji="1" lang="ja-JP" altLang="en-US" sz="1100"/>
            </a:p>
          </xdr:txBody>
        </xdr:sp>
      </mc:Fallback>
    </mc:AlternateContent>
    <xdr:clientData/>
  </xdr:oneCellAnchor>
  <xdr:oneCellAnchor>
    <xdr:from>
      <xdr:col>17</xdr:col>
      <xdr:colOff>76200</xdr:colOff>
      <xdr:row>26</xdr:row>
      <xdr:rowOff>141763</xdr:rowOff>
    </xdr:from>
    <xdr:ext cx="438148" cy="264944"/>
    <mc:AlternateContent xmlns:mc="http://schemas.openxmlformats.org/markup-compatibility/2006" xmlns:a14="http://schemas.microsoft.com/office/drawing/2010/main">
      <mc:Choice Requires="a14">
        <xdr:sp macro="" textlink="">
          <xdr:nvSpPr>
            <xdr:cNvPr id="29" name="テキスト ボックス 28"/>
            <xdr:cNvSpPr txBox="1"/>
          </xdr:nvSpPr>
          <xdr:spPr>
            <a:xfrm>
              <a:off x="10982325" y="5475763"/>
              <a:ext cx="438148"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a:rPr kumimoji="1" lang="en-US" altLang="ja-JP" sz="1100" b="0" i="1">
                            <a:latin typeface="Cambria Math"/>
                          </a:rPr>
                          <m:t>h</m:t>
                        </m:r>
                      </m:sub>
                    </m:sSub>
                  </m:oMath>
                </m:oMathPara>
              </a14:m>
              <a:endParaRPr kumimoji="1" lang="ja-JP" altLang="en-US" sz="1100"/>
            </a:p>
          </xdr:txBody>
        </xdr:sp>
      </mc:Choice>
      <mc:Fallback xmlns="">
        <xdr:sp macro="" textlink="">
          <xdr:nvSpPr>
            <xdr:cNvPr id="29" name="テキスト ボックス 28"/>
            <xdr:cNvSpPr txBox="1"/>
          </xdr:nvSpPr>
          <xdr:spPr>
            <a:xfrm>
              <a:off x="10982325" y="5475763"/>
              <a:ext cx="438148" cy="264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i="0">
                  <a:latin typeface="Cambria Math"/>
                </a:rPr>
                <a:t>𝜃</a:t>
              </a:r>
              <a:r>
                <a:rPr kumimoji="1" lang="en-US" altLang="ja-JP" sz="1100" i="0">
                  <a:latin typeface="Cambria Math"/>
                </a:rPr>
                <a:t>_</a:t>
              </a:r>
              <a:r>
                <a:rPr kumimoji="1" lang="en-US" altLang="ja-JP" sz="1100" b="0" i="0">
                  <a:latin typeface="Cambria Math"/>
                </a:rPr>
                <a:t>ℎ</a:t>
              </a:r>
              <a:endParaRPr kumimoji="1" lang="ja-JP" altLang="en-US" sz="1100"/>
            </a:p>
          </xdr:txBody>
        </xdr:sp>
      </mc:Fallback>
    </mc:AlternateContent>
    <xdr:clientData/>
  </xdr:oneCellAnchor>
  <xdr:twoCellAnchor editAs="oneCell">
    <xdr:from>
      <xdr:col>2</xdr:col>
      <xdr:colOff>437373</xdr:colOff>
      <xdr:row>9</xdr:row>
      <xdr:rowOff>58316</xdr:rowOff>
    </xdr:from>
    <xdr:to>
      <xdr:col>8</xdr:col>
      <xdr:colOff>517461</xdr:colOff>
      <xdr:row>11</xdr:row>
      <xdr:rowOff>130550</xdr:rowOff>
    </xdr:to>
    <xdr:pic>
      <xdr:nvPicPr>
        <xdr:cNvPr id="31" name="図 30"/>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708" r="21234"/>
        <a:stretch/>
      </xdr:blipFill>
      <xdr:spPr bwMode="auto">
        <a:xfrm>
          <a:off x="1409312" y="2147984"/>
          <a:ext cx="3695700" cy="4610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340178</xdr:colOff>
      <xdr:row>12</xdr:row>
      <xdr:rowOff>116632</xdr:rowOff>
    </xdr:from>
    <xdr:to>
      <xdr:col>11</xdr:col>
      <xdr:colOff>2967</xdr:colOff>
      <xdr:row>15</xdr:row>
      <xdr:rowOff>9719</xdr:rowOff>
    </xdr:to>
    <xdr:pic>
      <xdr:nvPicPr>
        <xdr:cNvPr id="32" name="図 3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760" r="14472"/>
        <a:stretch/>
      </xdr:blipFill>
      <xdr:spPr bwMode="auto">
        <a:xfrm>
          <a:off x="1312117" y="2789464"/>
          <a:ext cx="4648835" cy="4762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233265</xdr:colOff>
      <xdr:row>57</xdr:row>
      <xdr:rowOff>87474</xdr:rowOff>
    </xdr:from>
    <xdr:to>
      <xdr:col>8</xdr:col>
      <xdr:colOff>520998</xdr:colOff>
      <xdr:row>59</xdr:row>
      <xdr:rowOff>8896</xdr:rowOff>
    </xdr:to>
    <xdr:pic>
      <xdr:nvPicPr>
        <xdr:cNvPr id="33" name="図 32"/>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810" r="19929"/>
        <a:stretch/>
      </xdr:blipFill>
      <xdr:spPr bwMode="auto">
        <a:xfrm>
          <a:off x="1205204" y="8222602"/>
          <a:ext cx="3903345" cy="4610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269334</xdr:colOff>
      <xdr:row>59</xdr:row>
      <xdr:rowOff>205618</xdr:rowOff>
    </xdr:from>
    <xdr:to>
      <xdr:col>11</xdr:col>
      <xdr:colOff>162628</xdr:colOff>
      <xdr:row>61</xdr:row>
      <xdr:rowOff>156833</xdr:rowOff>
    </xdr:to>
    <xdr:pic>
      <xdr:nvPicPr>
        <xdr:cNvPr id="35" name="図 34"/>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625" r="13048"/>
        <a:stretch/>
      </xdr:blipFill>
      <xdr:spPr bwMode="auto">
        <a:xfrm>
          <a:off x="1243001" y="12704535"/>
          <a:ext cx="4899210" cy="4803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43586</xdr:colOff>
      <xdr:row>144</xdr:row>
      <xdr:rowOff>224409</xdr:rowOff>
    </xdr:from>
    <xdr:to>
      <xdr:col>6</xdr:col>
      <xdr:colOff>5767</xdr:colOff>
      <xdr:row>146</xdr:row>
      <xdr:rowOff>165971</xdr:rowOff>
    </xdr:to>
    <xdr:pic>
      <xdr:nvPicPr>
        <xdr:cNvPr id="36" name="図 35"/>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36180" r="33571"/>
        <a:stretch/>
      </xdr:blipFill>
      <xdr:spPr bwMode="auto">
        <a:xfrm>
          <a:off x="1768669" y="32715242"/>
          <a:ext cx="1962431" cy="4601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320740</xdr:colOff>
      <xdr:row>102</xdr:row>
      <xdr:rowOff>223545</xdr:rowOff>
    </xdr:from>
    <xdr:to>
      <xdr:col>9</xdr:col>
      <xdr:colOff>337937</xdr:colOff>
      <xdr:row>104</xdr:row>
      <xdr:rowOff>198180</xdr:rowOff>
    </xdr:to>
    <xdr:pic>
      <xdr:nvPicPr>
        <xdr:cNvPr id="42" name="図 4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6061" r="33808"/>
        <a:stretch/>
      </xdr:blipFill>
      <xdr:spPr bwMode="auto">
        <a:xfrm>
          <a:off x="3568765" y="14453895"/>
          <a:ext cx="1950772" cy="45168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93889</xdr:colOff>
      <xdr:row>103</xdr:row>
      <xdr:rowOff>194</xdr:rowOff>
    </xdr:from>
    <xdr:to>
      <xdr:col>4</xdr:col>
      <xdr:colOff>108987</xdr:colOff>
      <xdr:row>104</xdr:row>
      <xdr:rowOff>206073</xdr:rowOff>
    </xdr:to>
    <xdr:pic>
      <xdr:nvPicPr>
        <xdr:cNvPr id="45" name="図 44"/>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35942" r="33809"/>
        <a:stretch/>
      </xdr:blipFill>
      <xdr:spPr bwMode="auto">
        <a:xfrm>
          <a:off x="589189" y="14478194"/>
          <a:ext cx="1967723" cy="4516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54213</xdr:colOff>
      <xdr:row>147</xdr:row>
      <xdr:rowOff>162640</xdr:rowOff>
    </xdr:from>
    <xdr:to>
      <xdr:col>6</xdr:col>
      <xdr:colOff>7910</xdr:colOff>
      <xdr:row>149</xdr:row>
      <xdr:rowOff>135952</xdr:rowOff>
    </xdr:to>
    <xdr:pic>
      <xdr:nvPicPr>
        <xdr:cNvPr id="48" name="図 47"/>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34875" r="34995"/>
        <a:stretch/>
      </xdr:blipFill>
      <xdr:spPr bwMode="auto">
        <a:xfrm>
          <a:off x="1779296" y="33415473"/>
          <a:ext cx="1953947" cy="4601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426126</xdr:colOff>
      <xdr:row>152</xdr:row>
      <xdr:rowOff>27516</xdr:rowOff>
    </xdr:from>
    <xdr:to>
      <xdr:col>3</xdr:col>
      <xdr:colOff>612862</xdr:colOff>
      <xdr:row>154</xdr:row>
      <xdr:rowOff>76421</xdr:rowOff>
    </xdr:to>
    <xdr:pic>
      <xdr:nvPicPr>
        <xdr:cNvPr id="49" name="図 48"/>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36180" r="50888"/>
        <a:stretch/>
      </xdr:blipFill>
      <xdr:spPr bwMode="auto">
        <a:xfrm>
          <a:off x="1395239" y="25661949"/>
          <a:ext cx="939876" cy="50411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190500</xdr:colOff>
      <xdr:row>197</xdr:row>
      <xdr:rowOff>0</xdr:rowOff>
    </xdr:from>
    <xdr:to>
      <xdr:col>3</xdr:col>
      <xdr:colOff>198755</xdr:colOff>
      <xdr:row>199</xdr:row>
      <xdr:rowOff>23919</xdr:rowOff>
    </xdr:to>
    <xdr:pic>
      <xdr:nvPicPr>
        <xdr:cNvPr id="50" name="図 49"/>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40688" r="40213"/>
        <a:stretch/>
      </xdr:blipFill>
      <xdr:spPr bwMode="auto">
        <a:xfrm>
          <a:off x="685800" y="31603950"/>
          <a:ext cx="1236980" cy="4610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336551</xdr:colOff>
      <xdr:row>201</xdr:row>
      <xdr:rowOff>220133</xdr:rowOff>
    </xdr:from>
    <xdr:to>
      <xdr:col>7</xdr:col>
      <xdr:colOff>193041</xdr:colOff>
      <xdr:row>203</xdr:row>
      <xdr:rowOff>221826</xdr:rowOff>
    </xdr:to>
    <xdr:pic>
      <xdr:nvPicPr>
        <xdr:cNvPr id="51" name="図 50"/>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080" r="23725"/>
        <a:stretch/>
      </xdr:blipFill>
      <xdr:spPr bwMode="auto">
        <a:xfrm>
          <a:off x="833968" y="46426966"/>
          <a:ext cx="3380740" cy="4673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286808</xdr:colOff>
      <xdr:row>205</xdr:row>
      <xdr:rowOff>104775</xdr:rowOff>
    </xdr:from>
    <xdr:to>
      <xdr:col>9</xdr:col>
      <xdr:colOff>1905</xdr:colOff>
      <xdr:row>207</xdr:row>
      <xdr:rowOff>106470</xdr:rowOff>
    </xdr:to>
    <xdr:pic>
      <xdr:nvPicPr>
        <xdr:cNvPr id="52" name="図 5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6132" r="15896"/>
        <a:stretch/>
      </xdr:blipFill>
      <xdr:spPr bwMode="auto">
        <a:xfrm>
          <a:off x="784225" y="47242942"/>
          <a:ext cx="4403513" cy="46736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123825</xdr:colOff>
      <xdr:row>284</xdr:row>
      <xdr:rowOff>76200</xdr:rowOff>
    </xdr:from>
    <xdr:to>
      <xdr:col>5</xdr:col>
      <xdr:colOff>121920</xdr:colOff>
      <xdr:row>285</xdr:row>
      <xdr:rowOff>64345</xdr:rowOff>
    </xdr:to>
    <xdr:pic>
      <xdr:nvPicPr>
        <xdr:cNvPr id="53" name="図 52"/>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8825" t="-7" r="28707" b="7"/>
        <a:stretch/>
      </xdr:blipFill>
      <xdr:spPr bwMode="auto">
        <a:xfrm>
          <a:off x="619125" y="51377850"/>
          <a:ext cx="2750820" cy="2305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41275</xdr:colOff>
      <xdr:row>127</xdr:row>
      <xdr:rowOff>20109</xdr:rowOff>
    </xdr:from>
    <xdr:to>
      <xdr:col>6</xdr:col>
      <xdr:colOff>187523</xdr:colOff>
      <xdr:row>129</xdr:row>
      <xdr:rowOff>1817</xdr:rowOff>
    </xdr:to>
    <xdr:pic>
      <xdr:nvPicPr>
        <xdr:cNvPr id="34" name="図 33"/>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r="76640"/>
        <a:stretch/>
      </xdr:blipFill>
      <xdr:spPr bwMode="auto">
        <a:xfrm>
          <a:off x="2489200" y="20251209"/>
          <a:ext cx="1422598" cy="45795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619125</xdr:colOff>
      <xdr:row>21</xdr:row>
      <xdr:rowOff>104775</xdr:rowOff>
    </xdr:from>
    <xdr:to>
      <xdr:col>3</xdr:col>
      <xdr:colOff>173051</xdr:colOff>
      <xdr:row>21</xdr:row>
      <xdr:rowOff>381000</xdr:rowOff>
    </xdr:to>
    <xdr:pic>
      <xdr:nvPicPr>
        <xdr:cNvPr id="3" name="図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503" r="39161"/>
        <a:stretch/>
      </xdr:blipFill>
      <xdr:spPr bwMode="auto">
        <a:xfrm>
          <a:off x="619125" y="4848225"/>
          <a:ext cx="1601801" cy="2762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3.emf"/><Relationship Id="rId4" Type="http://schemas.openxmlformats.org/officeDocument/2006/relationships/package" Target="../embeddings/Microsoft_Excel_Worksheet1.xls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view="pageBreakPreview" zoomScaleNormal="100" zoomScaleSheetLayoutView="100" workbookViewId="0">
      <selection activeCell="B3" sqref="B3:H4"/>
    </sheetView>
  </sheetViews>
  <sheetFormatPr defaultColWidth="9" defaultRowHeight="13.5"/>
  <cols>
    <col min="1" max="1" width="13.625" style="1" customWidth="1"/>
    <col min="2" max="2" width="12.625" style="1" customWidth="1"/>
    <col min="3" max="3" width="3.75" style="1" customWidth="1"/>
    <col min="4" max="4" width="5.5" style="1" customWidth="1"/>
    <col min="5" max="5" width="10" style="1" customWidth="1"/>
    <col min="6" max="6" width="6.625" style="1" customWidth="1"/>
    <col min="7" max="7" width="8.25" style="1" customWidth="1"/>
    <col min="8" max="8" width="7.875" style="1" customWidth="1"/>
    <col min="9" max="9" width="7" style="1" customWidth="1"/>
    <col min="10" max="10" width="8" style="1" customWidth="1"/>
    <col min="11" max="11" width="7.125" style="1" customWidth="1"/>
    <col min="12" max="12" width="5.625" style="1" customWidth="1"/>
    <col min="13" max="13" width="25.625" style="1" customWidth="1"/>
    <col min="14" max="14" width="18.5" style="1" bestFit="1" customWidth="1"/>
    <col min="15" max="15" width="20.125" style="47" bestFit="1" customWidth="1"/>
    <col min="16" max="16" width="20" style="47" bestFit="1" customWidth="1"/>
    <col min="17" max="18" width="24.625" style="47" customWidth="1"/>
    <col min="19" max="19" width="20.125" style="1" bestFit="1" customWidth="1"/>
    <col min="20" max="16384" width="9" style="1"/>
  </cols>
  <sheetData>
    <row r="1" spans="1:16" ht="14.25" thickBot="1">
      <c r="A1" s="303"/>
      <c r="B1" s="303"/>
      <c r="C1" s="303"/>
      <c r="D1" s="303"/>
      <c r="E1" s="303"/>
      <c r="F1" s="303"/>
      <c r="G1" s="536"/>
      <c r="H1" s="303"/>
      <c r="I1" s="536"/>
      <c r="J1" s="643"/>
      <c r="K1" s="643"/>
    </row>
    <row r="2" spans="1:16" ht="19.5" customHeight="1" thickBot="1">
      <c r="A2" s="664" t="s">
        <v>196</v>
      </c>
      <c r="B2" s="665"/>
      <c r="C2" s="665"/>
      <c r="D2" s="665"/>
      <c r="E2" s="665"/>
      <c r="F2" s="665"/>
      <c r="G2" s="665"/>
      <c r="H2" s="665"/>
      <c r="I2" s="665"/>
      <c r="J2" s="665"/>
      <c r="K2" s="666"/>
    </row>
    <row r="3" spans="1:16" ht="21" customHeight="1">
      <c r="A3" s="593" t="s">
        <v>26</v>
      </c>
      <c r="B3" s="669" t="s">
        <v>108</v>
      </c>
      <c r="C3" s="670"/>
      <c r="D3" s="670"/>
      <c r="E3" s="670"/>
      <c r="F3" s="670"/>
      <c r="G3" s="670"/>
      <c r="H3" s="671"/>
      <c r="I3" s="315" t="s">
        <v>195</v>
      </c>
      <c r="J3" s="667"/>
      <c r="K3" s="668"/>
    </row>
    <row r="4" spans="1:16" ht="20.25" customHeight="1">
      <c r="A4" s="678"/>
      <c r="B4" s="672"/>
      <c r="C4" s="673"/>
      <c r="D4" s="673"/>
      <c r="E4" s="673"/>
      <c r="F4" s="673"/>
      <c r="G4" s="673"/>
      <c r="H4" s="674"/>
      <c r="I4" s="316" t="s">
        <v>29</v>
      </c>
      <c r="J4" s="662"/>
      <c r="K4" s="663"/>
    </row>
    <row r="5" spans="1:16" ht="18.75" customHeight="1">
      <c r="A5" s="25" t="s">
        <v>27</v>
      </c>
      <c r="B5" s="679"/>
      <c r="C5" s="680"/>
      <c r="D5" s="680"/>
      <c r="E5" s="680"/>
      <c r="F5" s="681"/>
      <c r="G5" s="583" t="s">
        <v>1</v>
      </c>
      <c r="H5" s="682"/>
      <c r="I5" s="683"/>
      <c r="J5" s="683"/>
      <c r="K5" s="684"/>
      <c r="M5" s="105" t="str">
        <f>IF($B$3="ラックコンベア洗浄機","選択して下さい","")</f>
        <v/>
      </c>
      <c r="N5" s="105"/>
      <c r="O5" s="106"/>
      <c r="P5" s="106"/>
    </row>
    <row r="6" spans="1:16" ht="19.5" customHeight="1" thickBot="1">
      <c r="A6" s="25" t="s">
        <v>0</v>
      </c>
      <c r="B6" s="675"/>
      <c r="C6" s="676"/>
      <c r="D6" s="676"/>
      <c r="E6" s="676"/>
      <c r="F6" s="677"/>
      <c r="G6" s="580"/>
      <c r="H6" s="685"/>
      <c r="I6" s="686"/>
      <c r="J6" s="686"/>
      <c r="K6" s="687"/>
      <c r="M6" s="106" t="s">
        <v>102</v>
      </c>
      <c r="N6" s="105"/>
      <c r="O6" s="106"/>
      <c r="P6" s="106"/>
    </row>
    <row r="7" spans="1:16" ht="22.15" customHeight="1">
      <c r="A7" s="472" t="s">
        <v>2</v>
      </c>
      <c r="B7" s="658"/>
      <c r="C7" s="659"/>
      <c r="D7" s="659"/>
      <c r="E7" s="659"/>
      <c r="F7" s="660"/>
      <c r="G7" s="650" t="s">
        <v>8</v>
      </c>
      <c r="H7" s="644"/>
      <c r="I7" s="645"/>
      <c r="J7" s="645"/>
      <c r="K7" s="646"/>
      <c r="M7" s="105" t="s">
        <v>108</v>
      </c>
      <c r="N7" s="105" t="s">
        <v>109</v>
      </c>
      <c r="O7" s="106" t="s">
        <v>110</v>
      </c>
      <c r="P7" s="106" t="s">
        <v>111</v>
      </c>
    </row>
    <row r="8" spans="1:16" ht="19.5" customHeight="1">
      <c r="A8" s="473" t="s">
        <v>30</v>
      </c>
      <c r="B8" s="603"/>
      <c r="C8" s="604"/>
      <c r="D8" s="474" t="s">
        <v>31</v>
      </c>
      <c r="E8" s="601"/>
      <c r="F8" s="602"/>
      <c r="G8" s="651"/>
      <c r="H8" s="647"/>
      <c r="I8" s="648"/>
      <c r="J8" s="648"/>
      <c r="K8" s="649"/>
      <c r="M8" s="105"/>
      <c r="N8" s="106" t="s">
        <v>106</v>
      </c>
      <c r="O8" s="106"/>
      <c r="P8" s="106"/>
    </row>
    <row r="9" spans="1:16" ht="27.6" customHeight="1" thickBot="1">
      <c r="A9" s="475" t="s">
        <v>3</v>
      </c>
      <c r="B9" s="654"/>
      <c r="C9" s="655"/>
      <c r="D9" s="655"/>
      <c r="E9" s="656"/>
      <c r="F9" s="656"/>
      <c r="G9" s="656"/>
      <c r="H9" s="656"/>
      <c r="I9" s="656"/>
      <c r="J9" s="656"/>
      <c r="K9" s="657"/>
      <c r="M9" s="105"/>
      <c r="N9" s="106" t="s">
        <v>107</v>
      </c>
      <c r="O9" s="106"/>
      <c r="P9" s="106"/>
    </row>
    <row r="10" spans="1:16" ht="20.25" customHeight="1">
      <c r="A10" s="592" t="s">
        <v>7</v>
      </c>
      <c r="B10" s="104" t="s">
        <v>86</v>
      </c>
      <c r="C10" s="598"/>
      <c r="D10" s="599"/>
      <c r="E10" s="346" t="s">
        <v>35</v>
      </c>
      <c r="F10" s="347"/>
      <c r="G10" s="346" t="s">
        <v>4</v>
      </c>
      <c r="H10" s="347"/>
      <c r="I10" s="346" t="s">
        <v>5</v>
      </c>
      <c r="J10" s="348" t="s">
        <v>36</v>
      </c>
      <c r="K10" s="349"/>
    </row>
    <row r="11" spans="1:16" ht="21" customHeight="1" thickBot="1">
      <c r="A11" s="593"/>
      <c r="B11" s="109" t="s">
        <v>6</v>
      </c>
      <c r="C11" s="695"/>
      <c r="D11" s="696"/>
      <c r="E11" s="697"/>
      <c r="F11" s="600" t="s">
        <v>123</v>
      </c>
      <c r="G11" s="600"/>
      <c r="H11" s="641" t="s">
        <v>530</v>
      </c>
      <c r="I11" s="642"/>
      <c r="J11" s="476" t="s">
        <v>132</v>
      </c>
      <c r="K11" s="430" t="s">
        <v>530</v>
      </c>
      <c r="M11" s="1" t="s">
        <v>186</v>
      </c>
    </row>
    <row r="12" spans="1:16" ht="26.25" customHeight="1">
      <c r="A12" s="593"/>
      <c r="B12" s="429" t="str">
        <f>IF(B3="ラックコンベア洗浄機","洗浄ラック   　　　選択して下さい","")</f>
        <v/>
      </c>
      <c r="C12" s="761"/>
      <c r="D12" s="761"/>
      <c r="E12" s="762"/>
      <c r="F12" s="759" t="str">
        <f>IF(B3="フラットコンベア洗浄機","有効コンベア幅 (mm)",IF(B3="フライトコンベア洗浄機","有効コンベア幅 (mm)",IF(C12="専用食器籠","専用食器籠の進行方向の長さ(mm)","")))</f>
        <v/>
      </c>
      <c r="G12" s="760"/>
      <c r="H12" s="428"/>
      <c r="I12" s="639" t="str">
        <f>IF(B3="フライトコンベア洗浄機","立爪の間隔 (mm)",IF(C12="専用食器籠","専用食器籠の試験食器の収納数(枚)",""))</f>
        <v/>
      </c>
      <c r="J12" s="640"/>
      <c r="K12" s="427"/>
      <c r="M12" s="58"/>
      <c r="N12" s="59" t="s">
        <v>142</v>
      </c>
      <c r="O12" s="60" t="s">
        <v>143</v>
      </c>
    </row>
    <row r="13" spans="1:16" ht="21" customHeight="1" thickBot="1">
      <c r="A13" s="593"/>
      <c r="B13" s="26" t="s">
        <v>59</v>
      </c>
      <c r="C13" s="691"/>
      <c r="D13" s="692"/>
      <c r="E13" s="613" t="s">
        <v>133</v>
      </c>
      <c r="F13" s="613"/>
      <c r="G13" s="350"/>
      <c r="H13" s="637" t="s">
        <v>134</v>
      </c>
      <c r="I13" s="638"/>
      <c r="J13" s="426"/>
      <c r="K13" s="351" t="s">
        <v>22</v>
      </c>
      <c r="M13" s="61" t="s">
        <v>141</v>
      </c>
      <c r="N13" s="62">
        <f>IF($H$11="給水接続",15,IF($H$11="選択して下さい",0,60))</f>
        <v>0</v>
      </c>
      <c r="O13" s="63">
        <f>IF($H$11="給湯接続",60,IF($H$11="選択して下さい",0,15))</f>
        <v>0</v>
      </c>
    </row>
    <row r="14" spans="1:16" ht="21" customHeight="1" thickBot="1">
      <c r="A14" s="593"/>
      <c r="B14" s="109" t="s">
        <v>103</v>
      </c>
      <c r="C14" s="757" t="s">
        <v>531</v>
      </c>
      <c r="D14" s="758"/>
      <c r="E14" s="693" t="s">
        <v>85</v>
      </c>
      <c r="F14" s="694"/>
      <c r="G14" s="56" t="s">
        <v>531</v>
      </c>
      <c r="H14" s="614" t="s">
        <v>112</v>
      </c>
      <c r="I14" s="615"/>
      <c r="J14" s="652" t="s">
        <v>531</v>
      </c>
      <c r="K14" s="653"/>
      <c r="M14" s="1" t="s">
        <v>187</v>
      </c>
    </row>
    <row r="15" spans="1:16" ht="18" customHeight="1">
      <c r="A15" s="593"/>
      <c r="B15" s="632" t="s">
        <v>502</v>
      </c>
      <c r="C15" s="600" t="str">
        <f>IF(C14="選択してください","",IF(C14="1タンク式","---",IF(C14="2タンク式","---",IF(C14="3タンク式","予備洗浄タンク:Wp"))))</f>
        <v/>
      </c>
      <c r="D15" s="600"/>
      <c r="E15" s="600"/>
      <c r="F15" s="425"/>
      <c r="G15" s="352" t="str">
        <f>IF(C15="","","(ℓ)")</f>
        <v/>
      </c>
      <c r="H15" s="600" t="str">
        <f>IF(C14="選択してください","",IF(C14="1タンク式","---",IF(C14="2タンク式","循環すすぎタンク:Wm",IF(C14="3タンク式","循環すすぎタンク:Wm"))))</f>
        <v/>
      </c>
      <c r="I15" s="600"/>
      <c r="J15" s="425"/>
      <c r="K15" s="353" t="str">
        <f>IF(H15="","","(ℓ)")</f>
        <v/>
      </c>
      <c r="M15" s="64" t="s">
        <v>135</v>
      </c>
      <c r="N15" s="65">
        <f>$F$15</f>
        <v>0</v>
      </c>
      <c r="O15" s="66" t="str">
        <f>$F$16</f>
        <v>選択して下さい</v>
      </c>
    </row>
    <row r="16" spans="1:16" ht="18" customHeight="1">
      <c r="A16" s="593"/>
      <c r="B16" s="633"/>
      <c r="C16" s="600" t="str">
        <f>IF(C14="選択してください","",IF(C14="1タンク式","---",IF(C14="2タンク式","---",IF(C14="3タンク式","予備洗浄タンク:加熱源"))))</f>
        <v/>
      </c>
      <c r="D16" s="600"/>
      <c r="E16" s="600"/>
      <c r="F16" s="616" t="s">
        <v>530</v>
      </c>
      <c r="G16" s="617"/>
      <c r="H16" s="600" t="str">
        <f>IF(C14="選択してください","",IF(C14="1タンク式","---",IF(C14="2タンク式","循環すすぎタンク:加熱源",IF(C14="3タンク式","循環すすぎタンク:加熱源"))))</f>
        <v/>
      </c>
      <c r="I16" s="600"/>
      <c r="J16" s="698" t="s">
        <v>530</v>
      </c>
      <c r="K16" s="699"/>
      <c r="M16" s="67" t="s">
        <v>136</v>
      </c>
      <c r="N16" s="57">
        <f>$F$17</f>
        <v>0</v>
      </c>
      <c r="O16" s="68" t="str">
        <f>$F$18</f>
        <v>選択して下さい</v>
      </c>
    </row>
    <row r="17" spans="1:20" ht="18" customHeight="1">
      <c r="A17" s="593"/>
      <c r="B17" s="633"/>
      <c r="C17" s="600" t="str">
        <f>IF(C14="選択してください","",IF(C14="1タンク式","洗浄タンク:Wf",IF(C14="2タンク式","洗浄タンク:Wf",IF(C14="3タンク式","洗浄タンク:Wf"))))</f>
        <v/>
      </c>
      <c r="D17" s="600"/>
      <c r="E17" s="600"/>
      <c r="F17" s="425"/>
      <c r="G17" s="352" t="str">
        <f>IF(C17="","","(ℓ)")</f>
        <v/>
      </c>
      <c r="H17" s="600" t="str">
        <f>IF(G14="有","仕上げすすぎタンク:Wr","---")</f>
        <v>---</v>
      </c>
      <c r="I17" s="600"/>
      <c r="J17" s="425"/>
      <c r="K17" s="353" t="str">
        <f>IF(H17="","","(ℓ)")</f>
        <v>(ℓ)</v>
      </c>
      <c r="M17" s="67" t="s">
        <v>137</v>
      </c>
      <c r="N17" s="57">
        <f>$J$15</f>
        <v>0</v>
      </c>
      <c r="O17" s="68" t="str">
        <f>$J$16</f>
        <v>選択して下さい</v>
      </c>
      <c r="T17" s="15"/>
    </row>
    <row r="18" spans="1:20" ht="18" customHeight="1" thickBot="1">
      <c r="A18" s="594"/>
      <c r="B18" s="634"/>
      <c r="C18" s="597" t="str">
        <f>IF(C14="選択してください","",IF(C14="1タンク式","洗浄タンク:加熱源",IF(C14="2タンク式","洗浄タンク:加熱源",IF(C14="3タンク式","洗浄タンク:加熱源"))))</f>
        <v/>
      </c>
      <c r="D18" s="597"/>
      <c r="E18" s="597"/>
      <c r="F18" s="595" t="s">
        <v>530</v>
      </c>
      <c r="G18" s="596"/>
      <c r="H18" s="597" t="str">
        <f>IF(G14="有","仕上げすすぎタンク:加熱源","---")</f>
        <v>---</v>
      </c>
      <c r="I18" s="597"/>
      <c r="J18" s="689" t="s">
        <v>530</v>
      </c>
      <c r="K18" s="690"/>
      <c r="M18" s="69" t="s">
        <v>138</v>
      </c>
      <c r="N18" s="70">
        <f>$J$17</f>
        <v>0</v>
      </c>
      <c r="O18" s="71" t="str">
        <f>$J$18</f>
        <v>選択して下さい</v>
      </c>
      <c r="T18" s="15"/>
    </row>
    <row r="19" spans="1:20" ht="6" customHeight="1" thickBot="1">
      <c r="A19" s="688"/>
      <c r="B19" s="688"/>
      <c r="C19" s="688"/>
      <c r="D19" s="688"/>
      <c r="E19" s="688"/>
      <c r="F19" s="688"/>
      <c r="G19" s="688"/>
      <c r="H19" s="688"/>
      <c r="I19" s="688"/>
      <c r="J19" s="688"/>
      <c r="K19" s="688"/>
    </row>
    <row r="20" spans="1:20" ht="18" customHeight="1">
      <c r="A20" s="635" t="s">
        <v>205</v>
      </c>
      <c r="B20" s="321" t="s">
        <v>124</v>
      </c>
      <c r="C20" s="322"/>
      <c r="D20" s="322"/>
      <c r="E20" s="322"/>
      <c r="F20" s="322"/>
      <c r="G20" s="322"/>
      <c r="H20" s="177"/>
      <c r="I20" s="322"/>
      <c r="J20" s="322"/>
      <c r="K20" s="332"/>
    </row>
    <row r="21" spans="1:20" ht="11.25" customHeight="1">
      <c r="A21" s="606"/>
      <c r="B21" s="318"/>
      <c r="C21" s="749" t="s">
        <v>464</v>
      </c>
      <c r="D21" s="750"/>
      <c r="E21" s="750"/>
      <c r="F21" s="751"/>
      <c r="G21" s="618" t="s">
        <v>223</v>
      </c>
      <c r="H21" s="620" t="str">
        <f>IF('1.定格エネルギー消費量'!H57&lt;-10,"",IF('1.定格エネルギー消費量'!H57&gt;10,"",'1.定格エネルギー消費量'!H53))</f>
        <v/>
      </c>
      <c r="I21" s="583" t="s">
        <v>91</v>
      </c>
      <c r="J21" s="555" t="s">
        <v>463</v>
      </c>
      <c r="K21" s="556"/>
    </row>
    <row r="22" spans="1:20" ht="11.25" customHeight="1">
      <c r="A22" s="606"/>
      <c r="B22" s="318"/>
      <c r="C22" s="752"/>
      <c r="D22" s="753"/>
      <c r="E22" s="753"/>
      <c r="F22" s="754"/>
      <c r="G22" s="619"/>
      <c r="H22" s="621"/>
      <c r="I22" s="661"/>
      <c r="J22" s="557"/>
      <c r="K22" s="558"/>
    </row>
    <row r="23" spans="1:20" ht="11.25" customHeight="1">
      <c r="A23" s="606"/>
      <c r="B23" s="318"/>
      <c r="C23" s="628" t="s">
        <v>465</v>
      </c>
      <c r="D23" s="629"/>
      <c r="E23" s="423"/>
      <c r="F23" s="319"/>
      <c r="G23" s="755" t="s">
        <v>224</v>
      </c>
      <c r="H23" s="582" t="str">
        <f>IF(AND('1.定格エネルギー消費量'!H104&lt;&gt;"",'1.定格エネルギー消費量'!H81="",'1.定格エネルギー消費量'!H89="",'1.定格エネルギー消費量'!H104&lt;='1.定格エネルギー消費量'!E105,'1.定格エネルギー消費量'!H104&gt;='1.定格エネルギー消費量'!F105,'1.定格エネルギー消費量'!H102&lt;&gt;""),'1.定格エネルギー消費量'!H102,IF(OR('1.定格エネルギー消費量'!H81&lt;&gt;"",'1.定格エネルギー消費量'!H89&lt;&gt;""),"-",""))</f>
        <v/>
      </c>
      <c r="I23" s="580" t="s">
        <v>91</v>
      </c>
      <c r="J23" s="559" t="str">
        <f>"許容差 "&amp;"+"&amp;'1.定格エネルギー消費量'!E105&amp;"%、 "&amp;'1.定格エネルギー消費量'!F105&amp;"%"</f>
        <v>許容差 +25%、 -25%</v>
      </c>
      <c r="K23" s="560"/>
    </row>
    <row r="24" spans="1:20" ht="11.25" customHeight="1">
      <c r="A24" s="606"/>
      <c r="B24" s="318"/>
      <c r="C24" s="630"/>
      <c r="D24" s="631"/>
      <c r="E24" s="146"/>
      <c r="F24" s="319"/>
      <c r="G24" s="756"/>
      <c r="H24" s="582"/>
      <c r="I24" s="581"/>
      <c r="J24" s="561"/>
      <c r="K24" s="562"/>
    </row>
    <row r="25" spans="1:20" ht="9" customHeight="1">
      <c r="A25" s="606"/>
      <c r="B25" s="318"/>
      <c r="C25" s="278"/>
      <c r="D25" s="146"/>
      <c r="E25" s="146"/>
      <c r="F25" s="622" t="s">
        <v>122</v>
      </c>
      <c r="G25" s="623"/>
      <c r="H25" s="588" t="str">
        <f>IF(AND('1.定格エネルギー消費量'!H81&lt;='1.定格エネルギー消費量'!E82,'1.定格エネルギー消費量'!H81&gt;='1.定格エネルギー消費量'!F82),'1.定格エネルギー消費量'!H77,IF(AND(H23&lt;&gt;"",H23&lt;&gt;"-"),"-",""))</f>
        <v/>
      </c>
      <c r="I25" s="583" t="str">
        <f>IF(AND(H25&lt;&gt;"",H25&lt;&gt;"-"),"(kW）","")</f>
        <v/>
      </c>
      <c r="J25" s="586" t="str">
        <f>IF(AND(H25&lt;&gt;"",H25&lt;&gt;"-"),"消費電力の許容差","")</f>
        <v/>
      </c>
      <c r="K25" s="587"/>
    </row>
    <row r="26" spans="1:20" ht="9" customHeight="1">
      <c r="A26" s="606"/>
      <c r="B26" s="318"/>
      <c r="C26" s="278"/>
      <c r="D26" s="146"/>
      <c r="E26" s="146"/>
      <c r="F26" s="624"/>
      <c r="G26" s="625"/>
      <c r="H26" s="589"/>
      <c r="I26" s="580"/>
      <c r="J26" s="53" t="str">
        <f>IF(AND(H25&lt;&gt;"",H25&lt;&gt;"-"),'1.定格エネルギー消費量'!E82,"")</f>
        <v/>
      </c>
      <c r="K26" s="54" t="str">
        <f>IF(AND(H25&lt;&gt;"",H25&lt;&gt;"-"),'1.定格エネルギー消費量'!F82,"")</f>
        <v/>
      </c>
    </row>
    <row r="27" spans="1:20" ht="9" customHeight="1">
      <c r="A27" s="606"/>
      <c r="B27" s="318"/>
      <c r="C27" s="278"/>
      <c r="D27" s="146"/>
      <c r="E27" s="146"/>
      <c r="F27" s="626"/>
      <c r="G27" s="627"/>
      <c r="H27" s="582"/>
      <c r="I27" s="581"/>
      <c r="J27" s="590" t="str">
        <f>IF(AND(H25&lt;&gt;"",H25&lt;&gt;"-"),'1.定格エネルギー消費量'!H79&amp;"Hz時","")</f>
        <v/>
      </c>
      <c r="K27" s="591"/>
    </row>
    <row r="28" spans="1:20" ht="14.25" customHeight="1">
      <c r="A28" s="606"/>
      <c r="B28" s="318"/>
      <c r="C28" s="278"/>
      <c r="D28" s="146"/>
      <c r="E28" s="146"/>
      <c r="F28" s="622" t="s">
        <v>121</v>
      </c>
      <c r="G28" s="623"/>
      <c r="H28" s="588" t="str">
        <f>IF(AND('1.定格エネルギー消費量'!H89&lt;='1.定格エネルギー消費量'!E90,'1.定格エネルギー消費量'!H89&gt;='1.定格エネルギー消費量'!F90),'1.定格エネルギー消費量'!H87,IF(AND(H23&lt;&gt;"",H23&lt;&gt;"-"),"-",""))</f>
        <v/>
      </c>
      <c r="I28" s="583" t="str">
        <f>IF(AND(H28&lt;&gt;"",H28&lt;&gt;"-"),"(kW）","")</f>
        <v/>
      </c>
      <c r="J28" s="584" t="str">
        <f>IF(AND(H28&lt;&gt;"",H28&lt;&gt;"-"),"消費電力の許容差","")</f>
        <v/>
      </c>
      <c r="K28" s="585"/>
    </row>
    <row r="29" spans="1:20" ht="14.25" customHeight="1">
      <c r="A29" s="606"/>
      <c r="B29" s="320"/>
      <c r="C29" s="279"/>
      <c r="D29" s="424"/>
      <c r="E29" s="424"/>
      <c r="F29" s="626"/>
      <c r="G29" s="627"/>
      <c r="H29" s="582"/>
      <c r="I29" s="581"/>
      <c r="J29" s="51" t="str">
        <f>IF(AND(H28&lt;&gt;"",H28&lt;&gt;"-"),'1.定格エネルギー消費量'!E90,"")</f>
        <v/>
      </c>
      <c r="K29" s="52" t="str">
        <f>IF(AND(H28&lt;&gt;"",H28&lt;&gt;"-"),'1.定格エネルギー消費量'!F90,"")</f>
        <v/>
      </c>
    </row>
    <row r="30" spans="1:20" ht="22.5" customHeight="1">
      <c r="A30" s="606"/>
      <c r="B30" s="702" t="s">
        <v>92</v>
      </c>
      <c r="C30" s="703"/>
      <c r="D30" s="703"/>
      <c r="E30" s="703"/>
      <c r="F30" s="704"/>
      <c r="G30" s="323" t="s">
        <v>80</v>
      </c>
      <c r="H30" s="409"/>
      <c r="I30" s="324"/>
      <c r="J30" s="324"/>
      <c r="K30" s="325"/>
    </row>
    <row r="31" spans="1:20" s="29" customFormat="1" ht="22.5" customHeight="1">
      <c r="A31" s="606"/>
      <c r="B31" s="705" t="s">
        <v>93</v>
      </c>
      <c r="C31" s="703"/>
      <c r="D31" s="703"/>
      <c r="E31" s="703"/>
      <c r="F31" s="704"/>
      <c r="G31" s="446" t="s">
        <v>227</v>
      </c>
      <c r="H31" s="410" t="str">
        <f>'3.立上り性能'!I63</f>
        <v/>
      </c>
      <c r="I31" s="440" t="s">
        <v>49</v>
      </c>
      <c r="J31" s="27"/>
      <c r="K31" s="28"/>
      <c r="O31" s="47"/>
      <c r="P31" s="47"/>
      <c r="Q31" s="47"/>
      <c r="R31" s="47"/>
    </row>
    <row r="32" spans="1:20" s="29" customFormat="1" ht="22.5" customHeight="1">
      <c r="A32" s="606"/>
      <c r="B32" s="610" t="s">
        <v>94</v>
      </c>
      <c r="C32" s="611"/>
      <c r="D32" s="611"/>
      <c r="E32" s="611"/>
      <c r="F32" s="612"/>
      <c r="G32" s="444" t="s">
        <v>228</v>
      </c>
      <c r="H32" s="411" t="str">
        <f>IF(B3="フラットコンベア洗浄機",+'4.処理能力'!D47,IF(B3="フライトコンベア洗浄機",+'4.処理能力'!K34,IF(B3="ラックコンベア洗浄機",+'4.処理能力'!D34,IF(C12="ﾗｯｸｺﾝﾍﾞｱ洗浄機（専用食器籠）",+'4.処理能力'!D34,""))))</f>
        <v/>
      </c>
      <c r="I32" s="441" t="s">
        <v>65</v>
      </c>
      <c r="J32" s="48" t="str">
        <f>IF(C12&lt;&gt;"選択してください",IF(C12="専用食器籠","メラミン","陶磁器製"),"")</f>
        <v>陶磁器製</v>
      </c>
      <c r="K32" s="30" t="str">
        <f>IF(B3="フラットコンベア洗浄機","φ180の浅皿",IF(B3="フライトコンベア洗浄機","φ230の洋皿",IF(C12="専用食器籠","φ180の浅皿",IF(C12="500mm×500mm","φ230の洋皿",""))))</f>
        <v/>
      </c>
      <c r="L32" s="11"/>
      <c r="O32" s="47"/>
      <c r="P32" s="47"/>
      <c r="Q32" s="47"/>
      <c r="R32" s="47"/>
    </row>
    <row r="33" spans="1:18" s="29" customFormat="1" ht="18" customHeight="1">
      <c r="A33" s="606"/>
      <c r="B33" s="326" t="s">
        <v>466</v>
      </c>
      <c r="C33" s="327"/>
      <c r="D33" s="327"/>
      <c r="E33" s="327"/>
      <c r="F33" s="328"/>
      <c r="G33" s="329"/>
      <c r="H33" s="412"/>
      <c r="I33" s="330"/>
      <c r="J33" s="331"/>
      <c r="K33" s="317"/>
      <c r="L33" s="11"/>
      <c r="O33" s="47"/>
      <c r="P33" s="47"/>
      <c r="Q33" s="47"/>
      <c r="R33" s="47"/>
    </row>
    <row r="34" spans="1:18" s="29" customFormat="1" ht="20.25" customHeight="1">
      <c r="A34" s="606"/>
      <c r="B34" s="608"/>
      <c r="C34" s="740" t="s">
        <v>10</v>
      </c>
      <c r="D34" s="741"/>
      <c r="E34" s="742"/>
      <c r="F34" s="281" t="s">
        <v>506</v>
      </c>
      <c r="G34" s="282" t="s">
        <v>229</v>
      </c>
      <c r="H34" s="413" t="str">
        <f>+'5.エネルギー消費量'!I38</f>
        <v/>
      </c>
      <c r="I34" s="283" t="s">
        <v>70</v>
      </c>
      <c r="J34" s="573"/>
      <c r="K34" s="574"/>
      <c r="O34" s="47"/>
      <c r="P34" s="47"/>
      <c r="Q34" s="47"/>
      <c r="R34" s="47"/>
    </row>
    <row r="35" spans="1:18" s="29" customFormat="1" ht="20.25" customHeight="1">
      <c r="A35" s="606"/>
      <c r="B35" s="608"/>
      <c r="C35" s="743"/>
      <c r="D35" s="744"/>
      <c r="E35" s="745"/>
      <c r="F35" s="277" t="s">
        <v>507</v>
      </c>
      <c r="G35" s="446" t="s">
        <v>230</v>
      </c>
      <c r="H35" s="414" t="str">
        <f>+'5.エネルギー消費量'!I70</f>
        <v/>
      </c>
      <c r="I35" s="440" t="s">
        <v>70</v>
      </c>
      <c r="J35" s="575"/>
      <c r="K35" s="576"/>
      <c r="O35" s="47"/>
      <c r="P35" s="47"/>
      <c r="Q35" s="47"/>
      <c r="R35" s="47"/>
    </row>
    <row r="36" spans="1:18" s="29" customFormat="1" ht="20.25" customHeight="1">
      <c r="A36" s="606"/>
      <c r="B36" s="608"/>
      <c r="C36" s="740" t="s">
        <v>42</v>
      </c>
      <c r="D36" s="741"/>
      <c r="E36" s="742"/>
      <c r="F36" s="281" t="s">
        <v>506</v>
      </c>
      <c r="G36" s="282" t="s">
        <v>231</v>
      </c>
      <c r="H36" s="413" t="str">
        <f>+'5.エネルギー消費量'!I135</f>
        <v/>
      </c>
      <c r="I36" s="283" t="s">
        <v>15</v>
      </c>
      <c r="J36" s="284"/>
      <c r="K36" s="285"/>
      <c r="O36" s="47"/>
      <c r="P36" s="47"/>
      <c r="Q36" s="47"/>
      <c r="R36" s="47"/>
    </row>
    <row r="37" spans="1:18" s="29" customFormat="1" ht="20.25" customHeight="1">
      <c r="A37" s="606"/>
      <c r="B37" s="608"/>
      <c r="C37" s="743"/>
      <c r="D37" s="744"/>
      <c r="E37" s="745"/>
      <c r="F37" s="277" t="s">
        <v>507</v>
      </c>
      <c r="G37" s="446" t="s">
        <v>232</v>
      </c>
      <c r="H37" s="414" t="str">
        <f>+'5.エネルギー消費量'!I160</f>
        <v/>
      </c>
      <c r="I37" s="440" t="s">
        <v>15</v>
      </c>
      <c r="J37" s="278"/>
      <c r="K37" s="188"/>
      <c r="O37" s="47"/>
      <c r="P37" s="47"/>
      <c r="Q37" s="47"/>
      <c r="R37" s="47"/>
    </row>
    <row r="38" spans="1:18" s="29" customFormat="1" ht="20.25" customHeight="1">
      <c r="A38" s="606"/>
      <c r="B38" s="608"/>
      <c r="C38" s="740" t="s">
        <v>50</v>
      </c>
      <c r="D38" s="741"/>
      <c r="E38" s="742"/>
      <c r="F38" s="281" t="s">
        <v>506</v>
      </c>
      <c r="G38" s="286" t="s">
        <v>233</v>
      </c>
      <c r="H38" s="415" t="str">
        <f>+'5.エネルギー消費量'!I222</f>
        <v/>
      </c>
      <c r="I38" s="287" t="s">
        <v>15</v>
      </c>
      <c r="J38" s="284"/>
      <c r="K38" s="285"/>
      <c r="O38" s="47"/>
      <c r="P38" s="47"/>
      <c r="Q38" s="47"/>
      <c r="R38" s="47"/>
    </row>
    <row r="39" spans="1:18" s="29" customFormat="1" ht="20.25" customHeight="1">
      <c r="A39" s="606"/>
      <c r="B39" s="608"/>
      <c r="C39" s="743"/>
      <c r="D39" s="744"/>
      <c r="E39" s="745"/>
      <c r="F39" s="277" t="s">
        <v>507</v>
      </c>
      <c r="G39" s="445" t="s">
        <v>234</v>
      </c>
      <c r="H39" s="416" t="str">
        <f>+'5.エネルギー消費量'!I225</f>
        <v/>
      </c>
      <c r="I39" s="439" t="s">
        <v>15</v>
      </c>
      <c r="J39" s="278"/>
      <c r="K39" s="188"/>
      <c r="O39" s="47"/>
      <c r="P39" s="47"/>
      <c r="Q39" s="47"/>
      <c r="R39" s="47"/>
    </row>
    <row r="40" spans="1:18" s="29" customFormat="1" ht="20.25" customHeight="1">
      <c r="A40" s="606"/>
      <c r="B40" s="608"/>
      <c r="C40" s="740" t="s">
        <v>43</v>
      </c>
      <c r="D40" s="741"/>
      <c r="E40" s="742"/>
      <c r="F40" s="281" t="s">
        <v>506</v>
      </c>
      <c r="G40" s="286" t="s">
        <v>235</v>
      </c>
      <c r="H40" s="417" t="str">
        <f>+'5.エネルギー消費量'!I262</f>
        <v/>
      </c>
      <c r="I40" s="287" t="s">
        <v>66</v>
      </c>
      <c r="J40" s="284"/>
      <c r="K40" s="285"/>
      <c r="O40" s="47"/>
      <c r="P40" s="47"/>
      <c r="Q40" s="47"/>
      <c r="R40" s="47"/>
    </row>
    <row r="41" spans="1:18" s="29" customFormat="1" ht="20.25" customHeight="1">
      <c r="A41" s="606"/>
      <c r="B41" s="608"/>
      <c r="C41" s="743"/>
      <c r="D41" s="744"/>
      <c r="E41" s="745"/>
      <c r="F41" s="277" t="s">
        <v>507</v>
      </c>
      <c r="G41" s="445" t="s">
        <v>236</v>
      </c>
      <c r="H41" s="418" t="str">
        <f>+'5.エネルギー消費量'!I273</f>
        <v/>
      </c>
      <c r="I41" s="439" t="s">
        <v>66</v>
      </c>
      <c r="J41" s="279"/>
      <c r="K41" s="280"/>
      <c r="M41" s="29" t="s">
        <v>448</v>
      </c>
      <c r="O41" s="47"/>
      <c r="P41" s="47"/>
      <c r="Q41" s="47"/>
      <c r="R41" s="47"/>
    </row>
    <row r="42" spans="1:18" s="29" customFormat="1" ht="9" customHeight="1">
      <c r="A42" s="606"/>
      <c r="B42" s="608"/>
      <c r="C42" s="719" t="s">
        <v>225</v>
      </c>
      <c r="D42" s="720"/>
      <c r="E42" s="721"/>
      <c r="F42" s="737" t="s">
        <v>508</v>
      </c>
      <c r="G42" s="713" t="s">
        <v>237</v>
      </c>
      <c r="H42" s="728" t="str">
        <f>+'5.エネルギー消費量'!I299</f>
        <v/>
      </c>
      <c r="I42" s="577" t="s">
        <v>12</v>
      </c>
      <c r="J42" s="569" t="str">
        <f>"処理時間"&amp;TEXT(+'5.エネルギー消費量'!$I$294,"0.0")&amp;"h/日"</f>
        <v>処理時間1.0h/日</v>
      </c>
      <c r="K42" s="570"/>
      <c r="M42" s="342">
        <f>+'5.エネルギー消費量'!I294</f>
        <v>1</v>
      </c>
      <c r="O42" s="47"/>
      <c r="P42" s="47"/>
      <c r="Q42" s="47"/>
      <c r="R42" s="47"/>
    </row>
    <row r="43" spans="1:18" s="29" customFormat="1" ht="9" customHeight="1">
      <c r="A43" s="606"/>
      <c r="B43" s="608"/>
      <c r="C43" s="731"/>
      <c r="D43" s="732"/>
      <c r="E43" s="733"/>
      <c r="F43" s="738"/>
      <c r="G43" s="726"/>
      <c r="H43" s="563"/>
      <c r="I43" s="578"/>
      <c r="J43" s="565" t="str">
        <f>"待機時間"&amp;TEXT(+'5.エネルギー消費量'!I295,"0.0")&amp;"h/日"</f>
        <v>待機時間0.5h/日</v>
      </c>
      <c r="K43" s="566"/>
      <c r="M43" s="343">
        <f>+'5.エネルギー消費量'!I295</f>
        <v>0.5</v>
      </c>
      <c r="O43" s="47"/>
      <c r="P43" s="47"/>
      <c r="Q43" s="47"/>
      <c r="R43" s="47"/>
    </row>
    <row r="44" spans="1:18" s="29" customFormat="1" ht="9" customHeight="1">
      <c r="A44" s="606"/>
      <c r="B44" s="608"/>
      <c r="C44" s="731"/>
      <c r="D44" s="732"/>
      <c r="E44" s="733"/>
      <c r="F44" s="738"/>
      <c r="G44" s="726"/>
      <c r="H44" s="563"/>
      <c r="I44" s="578"/>
      <c r="J44" s="565" t="str">
        <f>"処理負荷率 "&amp;TEXT(+'5.エネルギー消費量'!I296,"0.0")</f>
        <v>処理負荷率 0.8</v>
      </c>
      <c r="K44" s="566"/>
      <c r="M44" s="343">
        <f>+'5.エネルギー消費量'!I296</f>
        <v>0.8</v>
      </c>
      <c r="O44" s="47"/>
      <c r="P44" s="47"/>
      <c r="Q44" s="47"/>
      <c r="R44" s="47"/>
    </row>
    <row r="45" spans="1:18" s="29" customFormat="1" ht="9" customHeight="1">
      <c r="A45" s="606"/>
      <c r="B45" s="608"/>
      <c r="C45" s="731"/>
      <c r="D45" s="732"/>
      <c r="E45" s="733"/>
      <c r="F45" s="739"/>
      <c r="G45" s="727"/>
      <c r="H45" s="729"/>
      <c r="I45" s="579"/>
      <c r="J45" s="571" t="str">
        <f>"立上り回数 "&amp;TEXT(+'5.エネルギー消費量'!I297,"0")&amp;" 回/日"</f>
        <v>立上り回数 1 回/日</v>
      </c>
      <c r="K45" s="572"/>
      <c r="M45" s="344">
        <f>+'5.エネルギー消費量'!I297</f>
        <v>1</v>
      </c>
      <c r="O45" s="47"/>
      <c r="P45" s="47"/>
      <c r="Q45" s="47"/>
      <c r="R45" s="47"/>
    </row>
    <row r="46" spans="1:18" s="29" customFormat="1" ht="9" customHeight="1">
      <c r="A46" s="606"/>
      <c r="B46" s="608"/>
      <c r="C46" s="731"/>
      <c r="D46" s="732"/>
      <c r="E46" s="733"/>
      <c r="F46" s="625" t="s">
        <v>507</v>
      </c>
      <c r="G46" s="726" t="s">
        <v>238</v>
      </c>
      <c r="H46" s="563" t="str">
        <f>+'5.エネルギー消費量'!I308</f>
        <v/>
      </c>
      <c r="I46" s="578" t="s">
        <v>12</v>
      </c>
      <c r="J46" s="565" t="str">
        <f>"処理時間"&amp;TEXT(+'5.エネルギー消費量'!$I$294,"0.0")&amp;"h/日"</f>
        <v>処理時間1.0h/日</v>
      </c>
      <c r="K46" s="566"/>
      <c r="M46" s="345"/>
      <c r="O46" s="47"/>
      <c r="P46" s="47"/>
      <c r="Q46" s="47"/>
      <c r="R46" s="47"/>
    </row>
    <row r="47" spans="1:18" s="29" customFormat="1" ht="9" customHeight="1">
      <c r="A47" s="606"/>
      <c r="B47" s="608"/>
      <c r="C47" s="731"/>
      <c r="D47" s="732"/>
      <c r="E47" s="733"/>
      <c r="F47" s="625"/>
      <c r="G47" s="726"/>
      <c r="H47" s="563"/>
      <c r="I47" s="578"/>
      <c r="J47" s="565" t="str">
        <f>"待機時間"&amp;TEXT(+'5.エネルギー消費量'!I295,"0.0")&amp;"h/日"</f>
        <v>待機時間0.5h/日</v>
      </c>
      <c r="K47" s="566"/>
      <c r="O47" s="47"/>
      <c r="P47" s="47"/>
      <c r="Q47" s="47"/>
      <c r="R47" s="47"/>
    </row>
    <row r="48" spans="1:18" s="29" customFormat="1" ht="9" customHeight="1">
      <c r="A48" s="606"/>
      <c r="B48" s="608"/>
      <c r="C48" s="731"/>
      <c r="D48" s="732"/>
      <c r="E48" s="733"/>
      <c r="F48" s="625"/>
      <c r="G48" s="726"/>
      <c r="H48" s="563"/>
      <c r="I48" s="578"/>
      <c r="J48" s="565" t="str">
        <f>"処理負荷率 "&amp;TEXT(+'5.エネルギー消費量'!I296,"0.0")</f>
        <v>処理負荷率 0.8</v>
      </c>
      <c r="K48" s="566"/>
      <c r="O48" s="47"/>
      <c r="P48" s="47"/>
      <c r="Q48" s="47"/>
      <c r="R48" s="47"/>
    </row>
    <row r="49" spans="1:18" s="29" customFormat="1" ht="9" customHeight="1">
      <c r="A49" s="636"/>
      <c r="B49" s="609"/>
      <c r="C49" s="734"/>
      <c r="D49" s="735"/>
      <c r="E49" s="736"/>
      <c r="F49" s="627"/>
      <c r="G49" s="730"/>
      <c r="H49" s="564"/>
      <c r="I49" s="725"/>
      <c r="J49" s="567" t="str">
        <f>"立上り回数 "&amp;TEXT(+'5.エネルギー消費量'!I297,"0")&amp;" 回/日"</f>
        <v>立上り回数 1 回/日</v>
      </c>
      <c r="K49" s="568"/>
      <c r="O49" s="47"/>
      <c r="P49" s="47"/>
      <c r="Q49" s="47"/>
      <c r="R49" s="47"/>
    </row>
    <row r="50" spans="1:18" s="29" customFormat="1" ht="26.25" customHeight="1">
      <c r="A50" s="605" t="s">
        <v>501</v>
      </c>
      <c r="B50" s="746" t="s">
        <v>468</v>
      </c>
      <c r="C50" s="709" t="s">
        <v>10</v>
      </c>
      <c r="D50" s="710"/>
      <c r="E50" s="711"/>
      <c r="F50" s="712"/>
      <c r="G50" s="444" t="s">
        <v>239</v>
      </c>
      <c r="H50" s="419" t="str">
        <f>'6.給水量または給湯量'!G10</f>
        <v/>
      </c>
      <c r="I50" s="438" t="s">
        <v>13</v>
      </c>
      <c r="J50" s="717"/>
      <c r="K50" s="718"/>
      <c r="O50" s="47"/>
      <c r="P50" s="47"/>
      <c r="Q50" s="47"/>
      <c r="R50" s="47"/>
    </row>
    <row r="51" spans="1:18" s="29" customFormat="1" ht="26.25" customHeight="1">
      <c r="A51" s="606"/>
      <c r="B51" s="747"/>
      <c r="C51" s="709" t="s">
        <v>64</v>
      </c>
      <c r="D51" s="710"/>
      <c r="E51" s="711"/>
      <c r="F51" s="712"/>
      <c r="G51" s="128" t="s">
        <v>240</v>
      </c>
      <c r="H51" s="420" t="str">
        <f>+'6.給水量または給湯量'!G15</f>
        <v/>
      </c>
      <c r="I51" s="442" t="s">
        <v>67</v>
      </c>
      <c r="J51" s="31"/>
      <c r="K51" s="32"/>
      <c r="O51" s="47"/>
      <c r="P51" s="47"/>
      <c r="Q51" s="47"/>
      <c r="R51" s="47"/>
    </row>
    <row r="52" spans="1:18" s="29" customFormat="1" ht="26.25" customHeight="1">
      <c r="A52" s="606"/>
      <c r="B52" s="747"/>
      <c r="C52" s="709" t="s">
        <v>81</v>
      </c>
      <c r="D52" s="710"/>
      <c r="E52" s="711"/>
      <c r="F52" s="712"/>
      <c r="G52" s="323" t="s">
        <v>80</v>
      </c>
      <c r="H52" s="409"/>
      <c r="I52" s="324"/>
      <c r="J52" s="324"/>
      <c r="K52" s="325"/>
      <c r="M52" s="29" t="s">
        <v>448</v>
      </c>
      <c r="O52" s="47"/>
      <c r="P52" s="47"/>
      <c r="Q52" s="47"/>
      <c r="R52" s="47"/>
    </row>
    <row r="53" spans="1:18" s="29" customFormat="1" ht="16.5" customHeight="1">
      <c r="A53" s="606"/>
      <c r="B53" s="747"/>
      <c r="C53" s="719" t="s">
        <v>226</v>
      </c>
      <c r="D53" s="720"/>
      <c r="E53" s="720"/>
      <c r="F53" s="721"/>
      <c r="G53" s="713" t="s">
        <v>241</v>
      </c>
      <c r="H53" s="707" t="str">
        <f>+'6.給水量または給湯量'!G28</f>
        <v/>
      </c>
      <c r="I53" s="706" t="s">
        <v>19</v>
      </c>
      <c r="J53" s="700" t="str">
        <f>"処理時間 "&amp;TEXT(+'6.給水量または給湯量'!G26,"0.0")&amp;"h/日"</f>
        <v>処理時間 1.0h/日</v>
      </c>
      <c r="K53" s="701"/>
      <c r="M53" s="311">
        <f>+'6.給水量または給湯量'!G26</f>
        <v>1</v>
      </c>
      <c r="O53" s="47"/>
      <c r="P53" s="47"/>
      <c r="Q53" s="47"/>
      <c r="R53" s="47"/>
    </row>
    <row r="54" spans="1:18" s="29" customFormat="1" ht="11.25" customHeight="1" thickBot="1">
      <c r="A54" s="607"/>
      <c r="B54" s="748"/>
      <c r="C54" s="722"/>
      <c r="D54" s="723"/>
      <c r="E54" s="723"/>
      <c r="F54" s="724"/>
      <c r="G54" s="714"/>
      <c r="H54" s="708"/>
      <c r="I54" s="634"/>
      <c r="J54" s="715" t="str">
        <f>"立上り回数 "&amp;TEXT(+'6.給水量または給湯量'!G25,"0")&amp;" 回/日"</f>
        <v>立上り回数 1 回/日</v>
      </c>
      <c r="K54" s="716"/>
      <c r="M54" s="312">
        <f>+'6.給水量または給湯量'!G25</f>
        <v>1</v>
      </c>
      <c r="O54" s="47"/>
      <c r="P54" s="47"/>
      <c r="Q54" s="47"/>
      <c r="R54" s="47"/>
    </row>
    <row r="55" spans="1:18" ht="15" customHeight="1">
      <c r="A55" s="33"/>
      <c r="B55" s="43"/>
      <c r="C55" s="34"/>
      <c r="D55" s="34"/>
      <c r="E55" s="34"/>
      <c r="F55" s="34"/>
      <c r="G55" s="34"/>
      <c r="H55" s="34"/>
      <c r="I55" s="34"/>
      <c r="J55" s="34"/>
      <c r="K55" s="35"/>
    </row>
    <row r="56" spans="1:18" ht="15" customHeight="1">
      <c r="A56" s="310"/>
      <c r="B56" s="44"/>
      <c r="C56" s="37"/>
      <c r="D56" s="37"/>
      <c r="E56" s="37"/>
      <c r="F56" s="37"/>
      <c r="G56" s="37"/>
      <c r="H56" s="37"/>
      <c r="I56" s="37"/>
      <c r="J56" s="37"/>
      <c r="K56" s="38"/>
    </row>
    <row r="57" spans="1:18" ht="15" customHeight="1">
      <c r="A57" s="310"/>
      <c r="B57" s="44"/>
      <c r="C57" s="37"/>
      <c r="D57" s="37"/>
      <c r="E57" s="37"/>
      <c r="F57" s="37"/>
      <c r="G57" s="37"/>
      <c r="H57" s="37"/>
      <c r="I57" s="37"/>
      <c r="J57" s="37"/>
      <c r="K57" s="38"/>
    </row>
    <row r="58" spans="1:18" ht="15" customHeight="1">
      <c r="A58" s="36" t="s">
        <v>426</v>
      </c>
      <c r="B58" s="44"/>
      <c r="C58" s="37"/>
      <c r="D58" s="37"/>
      <c r="E58" s="37"/>
      <c r="F58" s="37"/>
      <c r="G58" s="37"/>
      <c r="H58" s="37"/>
      <c r="I58" s="37"/>
      <c r="J58" s="37"/>
      <c r="K58" s="38"/>
    </row>
    <row r="59" spans="1:18" ht="15" customHeight="1">
      <c r="A59" s="36" t="s">
        <v>84</v>
      </c>
      <c r="B59" s="44"/>
      <c r="C59" s="37"/>
      <c r="D59" s="37"/>
      <c r="E59" s="37"/>
      <c r="F59" s="37"/>
      <c r="G59" s="37"/>
      <c r="H59" s="37"/>
      <c r="I59" s="37"/>
      <c r="J59" s="37"/>
      <c r="K59" s="38"/>
    </row>
    <row r="60" spans="1:18" ht="15" customHeight="1">
      <c r="A60" s="310"/>
      <c r="B60" s="44"/>
      <c r="C60" s="37"/>
      <c r="D60" s="37"/>
      <c r="E60" s="37"/>
      <c r="F60" s="37"/>
      <c r="G60" s="37"/>
      <c r="H60" s="37"/>
      <c r="I60" s="37"/>
      <c r="J60" s="37"/>
      <c r="K60" s="38"/>
    </row>
    <row r="61" spans="1:18" ht="15" customHeight="1">
      <c r="A61" s="310"/>
      <c r="B61" s="44"/>
      <c r="C61" s="37"/>
      <c r="D61" s="37"/>
      <c r="E61" s="37"/>
      <c r="F61" s="37"/>
      <c r="G61" s="37"/>
      <c r="H61" s="37"/>
      <c r="I61" s="37"/>
      <c r="J61" s="37"/>
      <c r="K61" s="38"/>
    </row>
    <row r="62" spans="1:18" ht="15" customHeight="1">
      <c r="A62" s="36"/>
      <c r="B62" s="44"/>
      <c r="C62" s="37"/>
      <c r="D62" s="37"/>
      <c r="E62" s="37"/>
      <c r="F62" s="37"/>
      <c r="G62" s="37"/>
      <c r="H62" s="37"/>
      <c r="I62" s="37"/>
      <c r="J62" s="37"/>
      <c r="K62" s="38"/>
    </row>
    <row r="63" spans="1:18" ht="12.6" customHeight="1" thickBot="1">
      <c r="A63" s="39"/>
      <c r="B63" s="40"/>
      <c r="C63" s="41"/>
      <c r="D63" s="41"/>
      <c r="E63" s="41"/>
      <c r="F63" s="41"/>
      <c r="G63" s="41"/>
      <c r="H63" s="41"/>
      <c r="I63" s="41"/>
      <c r="J63" s="41"/>
      <c r="K63" s="42"/>
    </row>
    <row r="64" spans="1:18" ht="7.15" customHeight="1"/>
  </sheetData>
  <sheetProtection password="CC9A" sheet="1" objects="1" scenarios="1" formatCells="0" formatRows="0" insertRows="0" deleteRows="0"/>
  <dataConsolidate/>
  <mergeCells count="104">
    <mergeCell ref="H15:I15"/>
    <mergeCell ref="C21:F22"/>
    <mergeCell ref="G23:G24"/>
    <mergeCell ref="F28:G29"/>
    <mergeCell ref="H28:H29"/>
    <mergeCell ref="C14:D14"/>
    <mergeCell ref="F12:G12"/>
    <mergeCell ref="F11:G11"/>
    <mergeCell ref="C12:E12"/>
    <mergeCell ref="C15:E15"/>
    <mergeCell ref="J53:K53"/>
    <mergeCell ref="B30:F30"/>
    <mergeCell ref="B31:F31"/>
    <mergeCell ref="I53:I54"/>
    <mergeCell ref="H53:H54"/>
    <mergeCell ref="C50:F50"/>
    <mergeCell ref="G53:G54"/>
    <mergeCell ref="C52:F52"/>
    <mergeCell ref="J54:K54"/>
    <mergeCell ref="J50:K50"/>
    <mergeCell ref="C53:F54"/>
    <mergeCell ref="I46:I49"/>
    <mergeCell ref="G42:G45"/>
    <mergeCell ref="H42:H45"/>
    <mergeCell ref="G46:G49"/>
    <mergeCell ref="C42:E49"/>
    <mergeCell ref="F42:F45"/>
    <mergeCell ref="F46:F49"/>
    <mergeCell ref="C38:E39"/>
    <mergeCell ref="C40:E41"/>
    <mergeCell ref="B50:B54"/>
    <mergeCell ref="C51:F51"/>
    <mergeCell ref="C34:E35"/>
    <mergeCell ref="C36:E37"/>
    <mergeCell ref="J1:K1"/>
    <mergeCell ref="H7:K8"/>
    <mergeCell ref="G7:G8"/>
    <mergeCell ref="J14:K14"/>
    <mergeCell ref="B9:K9"/>
    <mergeCell ref="B7:F7"/>
    <mergeCell ref="I21:I22"/>
    <mergeCell ref="J4:K4"/>
    <mergeCell ref="A2:K2"/>
    <mergeCell ref="J3:K3"/>
    <mergeCell ref="B3:H4"/>
    <mergeCell ref="G5:G6"/>
    <mergeCell ref="B6:F6"/>
    <mergeCell ref="A3:A4"/>
    <mergeCell ref="B5:F5"/>
    <mergeCell ref="H5:K6"/>
    <mergeCell ref="A19:K19"/>
    <mergeCell ref="C17:E17"/>
    <mergeCell ref="C18:E18"/>
    <mergeCell ref="J18:K18"/>
    <mergeCell ref="C13:D13"/>
    <mergeCell ref="E14:F14"/>
    <mergeCell ref="C11:E11"/>
    <mergeCell ref="J16:K16"/>
    <mergeCell ref="A10:A18"/>
    <mergeCell ref="F18:G18"/>
    <mergeCell ref="H18:I18"/>
    <mergeCell ref="C10:D10"/>
    <mergeCell ref="H17:I17"/>
    <mergeCell ref="C16:E16"/>
    <mergeCell ref="E8:F8"/>
    <mergeCell ref="B8:C8"/>
    <mergeCell ref="A50:A54"/>
    <mergeCell ref="B34:B49"/>
    <mergeCell ref="B32:F32"/>
    <mergeCell ref="E13:F13"/>
    <mergeCell ref="H14:I14"/>
    <mergeCell ref="F16:G16"/>
    <mergeCell ref="H16:I16"/>
    <mergeCell ref="G21:G22"/>
    <mergeCell ref="H21:H22"/>
    <mergeCell ref="F25:G27"/>
    <mergeCell ref="C23:D24"/>
    <mergeCell ref="B15:B18"/>
    <mergeCell ref="A20:A49"/>
    <mergeCell ref="H13:I13"/>
    <mergeCell ref="I12:J12"/>
    <mergeCell ref="H11:I11"/>
    <mergeCell ref="J21:K22"/>
    <mergeCell ref="J23:K24"/>
    <mergeCell ref="H46:H49"/>
    <mergeCell ref="J47:K47"/>
    <mergeCell ref="J49:K49"/>
    <mergeCell ref="J42:K42"/>
    <mergeCell ref="J43:K43"/>
    <mergeCell ref="J44:K44"/>
    <mergeCell ref="J45:K45"/>
    <mergeCell ref="J34:K34"/>
    <mergeCell ref="J35:K35"/>
    <mergeCell ref="J48:K48"/>
    <mergeCell ref="I42:I45"/>
    <mergeCell ref="I23:I24"/>
    <mergeCell ref="H23:H24"/>
    <mergeCell ref="I25:I27"/>
    <mergeCell ref="J46:K46"/>
    <mergeCell ref="I28:I29"/>
    <mergeCell ref="J28:K28"/>
    <mergeCell ref="J25:K25"/>
    <mergeCell ref="H25:H27"/>
    <mergeCell ref="J27:K27"/>
  </mergeCells>
  <phoneticPr fontId="3"/>
  <conditionalFormatting sqref="H12">
    <cfRule type="cellIs" dxfId="38" priority="26" stopIfTrue="1" operator="notEqual">
      <formula>$F$12&lt;&gt;""</formula>
    </cfRule>
  </conditionalFormatting>
  <conditionalFormatting sqref="K12">
    <cfRule type="cellIs" dxfId="37" priority="21" stopIfTrue="1" operator="notEqual">
      <formula>I12&lt;&gt;""</formula>
    </cfRule>
  </conditionalFormatting>
  <conditionalFormatting sqref="J15:J16">
    <cfRule type="cellIs" dxfId="36" priority="37" stopIfTrue="1" operator="notEqual">
      <formula>$H$15&lt;&gt;""</formula>
    </cfRule>
  </conditionalFormatting>
  <conditionalFormatting sqref="F15:F16">
    <cfRule type="cellIs" dxfId="35" priority="38" stopIfTrue="1" operator="notEqual">
      <formula>$C$15&lt;&gt;""</formula>
    </cfRule>
  </conditionalFormatting>
  <conditionalFormatting sqref="F17">
    <cfRule type="cellIs" dxfId="34" priority="18" stopIfTrue="1" operator="notEqual">
      <formula>$C$17&lt;&gt;""</formula>
    </cfRule>
  </conditionalFormatting>
  <conditionalFormatting sqref="J17">
    <cfRule type="cellIs" dxfId="33" priority="17" stopIfTrue="1" operator="notEqual">
      <formula>$H$17&lt;&gt;""</formula>
    </cfRule>
  </conditionalFormatting>
  <conditionalFormatting sqref="C12:E12">
    <cfRule type="expression" dxfId="32" priority="15" stopIfTrue="1">
      <formula>$B$12&lt;&gt;""</formula>
    </cfRule>
  </conditionalFormatting>
  <conditionalFormatting sqref="J46:K46 J42:K42">
    <cfRule type="expression" dxfId="31" priority="8" stopIfTrue="1">
      <formula>$M$42&lt;&gt;1</formula>
    </cfRule>
  </conditionalFormatting>
  <conditionalFormatting sqref="J47:K47 J43:K43">
    <cfRule type="expression" dxfId="30" priority="7" stopIfTrue="1">
      <formula>$M$43&lt;&gt;0.5</formula>
    </cfRule>
  </conditionalFormatting>
  <conditionalFormatting sqref="J48:K48 J44:K44">
    <cfRule type="expression" dxfId="29" priority="6" stopIfTrue="1">
      <formula>$M$44&lt;&gt;0.8</formula>
    </cfRule>
  </conditionalFormatting>
  <conditionalFormatting sqref="J49:K49 J45:K45">
    <cfRule type="expression" dxfId="28" priority="5" stopIfTrue="1">
      <formula>$M$45&lt;&gt;1</formula>
    </cfRule>
  </conditionalFormatting>
  <conditionalFormatting sqref="J53:K53">
    <cfRule type="expression" dxfId="27" priority="4" stopIfTrue="1">
      <formula>$M$53&lt;&gt;1</formula>
    </cfRule>
  </conditionalFormatting>
  <conditionalFormatting sqref="J54:K54">
    <cfRule type="expression" dxfId="26" priority="3" stopIfTrue="1">
      <formula>$M$54&lt;&gt;1</formula>
    </cfRule>
  </conditionalFormatting>
  <conditionalFormatting sqref="F18">
    <cfRule type="cellIs" dxfId="25" priority="2" stopIfTrue="1" operator="notEqual">
      <formula>$C$15&lt;&gt;""</formula>
    </cfRule>
  </conditionalFormatting>
  <conditionalFormatting sqref="J18">
    <cfRule type="cellIs" dxfId="24" priority="1" stopIfTrue="1" operator="notEqual">
      <formula>$H$15&lt;&gt;""</formula>
    </cfRule>
  </conditionalFormatting>
  <dataValidations count="9">
    <dataValidation type="list" allowBlank="1" showInputMessage="1" showErrorMessage="1" sqref="C14">
      <formula1>"選択してください,1タンク式,2タンク式,3タンク式"</formula1>
    </dataValidation>
    <dataValidation type="list" allowBlank="1" showInputMessage="1" showErrorMessage="1" sqref="G14">
      <formula1>"選択してください,有,無"</formula1>
    </dataValidation>
    <dataValidation type="list" allowBlank="1" showInputMessage="1" showErrorMessage="1" sqref="J14:K14">
      <formula1>"選択してください,熱湯殺菌方式,冷水仕上げすすぎ方式"</formula1>
    </dataValidation>
    <dataValidation type="list" allowBlank="1" showInputMessage="1" showErrorMessage="1" sqref="B3:H4">
      <formula1>"ラックコンベア洗浄機、フライトコンベア洗浄機、フラットコンベア洗浄機(選択してください),ラックコンベア洗浄機,フライトコンベア洗浄機,フラットコンベア洗浄機"</formula1>
    </dataValidation>
    <dataValidation type="list" allowBlank="1" showInputMessage="1" showErrorMessage="1" sqref="C12:D12">
      <formula1>INDIRECT(B3)</formula1>
    </dataValidation>
    <dataValidation type="list" allowBlank="1" showInputMessage="1" showErrorMessage="1" sqref="E12">
      <formula1>INDIRECT(C3)</formula1>
    </dataValidation>
    <dataValidation type="list" allowBlank="1" showInputMessage="1" showErrorMessage="1" sqref="J18:K18 F16:G16 J16:K16 F18:G18">
      <formula1>"選択して下さい,ガス,電気,なし"</formula1>
    </dataValidation>
    <dataValidation type="list" allowBlank="1" showInputMessage="1" showErrorMessage="1" sqref="K11">
      <formula1>"選択して下さい,13A,LPG"</formula1>
    </dataValidation>
    <dataValidation type="list" allowBlank="1" showInputMessage="1" showErrorMessage="1" sqref="H11:I11">
      <formula1>"選択して下さい,給湯接続,給水接続,立上り時給湯・処理時給水"</formula1>
    </dataValidation>
  </dataValidations>
  <pageMargins left="0.78740157480314965" right="0.51181102362204722" top="0.59055118110236227" bottom="0.59055118110236227" header="0.19685039370078741" footer="0.19685039370078741"/>
  <pageSetup paperSize="9" orientation="portrait" horizontalDpi="300" verticalDpi="300" r:id="rId1"/>
  <headerFooter alignWithMargins="0"/>
  <rowBreaks count="2" manualBreakCount="2">
    <brk id="49" max="10"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view="pageBreakPreview" zoomScaleNormal="100" zoomScaleSheetLayoutView="100" workbookViewId="0">
      <selection activeCell="B5" sqref="B5:E5"/>
    </sheetView>
  </sheetViews>
  <sheetFormatPr defaultColWidth="9" defaultRowHeight="13.5"/>
  <cols>
    <col min="1" max="1" width="7.375" style="1" customWidth="1"/>
    <col min="2" max="2" width="5.625" style="1" customWidth="1"/>
    <col min="3" max="3" width="9.375" style="1" customWidth="1"/>
    <col min="4" max="4" width="8.875" style="1" customWidth="1"/>
    <col min="5" max="5" width="9.25" style="1" customWidth="1"/>
    <col min="6" max="6" width="10.5" style="1" customWidth="1"/>
    <col min="7" max="7" width="7.5" style="1" customWidth="1"/>
    <col min="8" max="8" width="9.375" style="1" customWidth="1"/>
    <col min="9" max="9" width="7.75" style="1" customWidth="1"/>
    <col min="10" max="10" width="8.5" style="1" customWidth="1"/>
    <col min="11" max="11" width="5.625" style="1" customWidth="1"/>
    <col min="12" max="16384" width="9" style="1"/>
  </cols>
  <sheetData>
    <row r="1" spans="1:11" ht="15" customHeight="1" thickBot="1">
      <c r="A1" s="304"/>
      <c r="B1" s="304"/>
      <c r="C1" s="304"/>
      <c r="D1" s="304"/>
      <c r="E1" s="304"/>
      <c r="F1" s="304"/>
      <c r="G1" s="304"/>
      <c r="H1" s="304"/>
      <c r="I1" s="304"/>
      <c r="J1" s="304"/>
      <c r="K1" s="304"/>
    </row>
    <row r="2" spans="1:11" ht="18.75" customHeight="1" thickBot="1">
      <c r="A2" s="763" t="s">
        <v>197</v>
      </c>
      <c r="B2" s="764"/>
      <c r="C2" s="764"/>
      <c r="D2" s="764"/>
      <c r="E2" s="764"/>
      <c r="F2" s="764"/>
      <c r="G2" s="764"/>
      <c r="H2" s="764"/>
      <c r="I2" s="764"/>
      <c r="J2" s="764"/>
      <c r="K2" s="765"/>
    </row>
    <row r="3" spans="1:11" ht="28.5" customHeight="1" thickTop="1">
      <c r="A3" s="3" t="s">
        <v>206</v>
      </c>
      <c r="B3" s="766" t="str">
        <f>表紙!$B$3&amp;"　　（１．定格エネルギー消費量）"</f>
        <v>ラックコンベア洗浄機、フライトコンベア洗浄機、フラットコンベア洗浄機(選択してください)　　（１．定格エネルギー消費量）</v>
      </c>
      <c r="C3" s="767"/>
      <c r="D3" s="767"/>
      <c r="E3" s="767"/>
      <c r="F3" s="767"/>
      <c r="G3" s="767"/>
      <c r="H3" s="767"/>
      <c r="I3" s="783"/>
      <c r="J3" s="766" t="str">
        <f>"ガス種："&amp;表紙!$K$11</f>
        <v>ガス種：選択して下さい</v>
      </c>
      <c r="K3" s="768"/>
    </row>
    <row r="4" spans="1:11" ht="18" customHeight="1" thickBot="1">
      <c r="A4" s="4" t="s">
        <v>282</v>
      </c>
      <c r="B4" s="770" t="str">
        <f>IF(表紙!$B$6=0,"",表紙!$B$6)</f>
        <v/>
      </c>
      <c r="C4" s="771"/>
      <c r="D4" s="771"/>
      <c r="E4" s="771"/>
      <c r="F4" s="771"/>
      <c r="G4" s="784"/>
      <c r="H4" s="5" t="s">
        <v>1</v>
      </c>
      <c r="I4" s="770" t="str">
        <f>IF(表紙!$H$5=0,"",表紙!$H$5)</f>
        <v/>
      </c>
      <c r="J4" s="771"/>
      <c r="K4" s="772"/>
    </row>
    <row r="5" spans="1:11" ht="18" customHeight="1" thickBot="1">
      <c r="A5" s="338" t="s">
        <v>33</v>
      </c>
      <c r="B5" s="791"/>
      <c r="C5" s="792"/>
      <c r="D5" s="792"/>
      <c r="E5" s="793"/>
      <c r="F5" s="50" t="s">
        <v>38</v>
      </c>
      <c r="G5" s="339"/>
      <c r="H5" s="50" t="s">
        <v>28</v>
      </c>
      <c r="I5" s="339"/>
      <c r="J5" s="50" t="s">
        <v>95</v>
      </c>
      <c r="K5" s="55"/>
    </row>
    <row r="6" spans="1:11" ht="15" customHeight="1">
      <c r="A6" s="132"/>
      <c r="B6" s="133"/>
      <c r="C6" s="133"/>
      <c r="D6" s="133"/>
      <c r="E6" s="133"/>
      <c r="F6" s="133"/>
      <c r="G6" s="133"/>
      <c r="H6" s="133"/>
      <c r="I6" s="133"/>
      <c r="J6" s="133"/>
      <c r="K6" s="134"/>
    </row>
    <row r="7" spans="1:11" ht="15" customHeight="1">
      <c r="A7" s="135"/>
      <c r="B7" s="136" t="s">
        <v>125</v>
      </c>
      <c r="C7" s="133"/>
      <c r="D7" s="133"/>
      <c r="E7" s="133"/>
      <c r="F7" s="133"/>
      <c r="G7" s="133"/>
      <c r="H7" s="133"/>
      <c r="I7" s="133"/>
      <c r="J7" s="133"/>
      <c r="K7" s="137"/>
    </row>
    <row r="8" spans="1:11" ht="15" customHeight="1">
      <c r="A8" s="132"/>
      <c r="B8" s="133"/>
      <c r="C8" s="788" t="s">
        <v>479</v>
      </c>
      <c r="D8" s="788"/>
      <c r="E8" s="788"/>
      <c r="F8" s="788"/>
      <c r="G8" s="788"/>
      <c r="H8" s="788"/>
      <c r="I8" s="788"/>
      <c r="J8" s="788"/>
      <c r="K8" s="134"/>
    </row>
    <row r="9" spans="1:11" ht="15" customHeight="1">
      <c r="A9" s="138"/>
      <c r="B9" s="139"/>
      <c r="C9" s="788"/>
      <c r="D9" s="788"/>
      <c r="E9" s="788"/>
      <c r="F9" s="788"/>
      <c r="G9" s="788"/>
      <c r="H9" s="788"/>
      <c r="I9" s="788"/>
      <c r="J9" s="788"/>
      <c r="K9" s="134"/>
    </row>
    <row r="10" spans="1:11" ht="15" customHeight="1">
      <c r="A10" s="138"/>
      <c r="B10" s="139"/>
      <c r="C10" s="788"/>
      <c r="D10" s="788"/>
      <c r="E10" s="788"/>
      <c r="F10" s="788"/>
      <c r="G10" s="788"/>
      <c r="H10" s="788"/>
      <c r="I10" s="788"/>
      <c r="J10" s="788"/>
      <c r="K10" s="134"/>
    </row>
    <row r="11" spans="1:11" ht="15" customHeight="1">
      <c r="A11" s="138"/>
      <c r="B11" s="139"/>
      <c r="C11" s="788"/>
      <c r="D11" s="788"/>
      <c r="E11" s="788"/>
      <c r="F11" s="788"/>
      <c r="G11" s="788"/>
      <c r="H11" s="788"/>
      <c r="I11" s="788"/>
      <c r="J11" s="788"/>
      <c r="K11" s="134"/>
    </row>
    <row r="12" spans="1:11" ht="12.75" customHeight="1">
      <c r="A12" s="138"/>
      <c r="B12" s="139"/>
      <c r="C12" s="788"/>
      <c r="D12" s="788"/>
      <c r="E12" s="788"/>
      <c r="F12" s="788"/>
      <c r="G12" s="788"/>
      <c r="H12" s="788"/>
      <c r="I12" s="788"/>
      <c r="J12" s="788"/>
      <c r="K12" s="134"/>
    </row>
    <row r="13" spans="1:11" ht="15" customHeight="1">
      <c r="A13" s="132"/>
      <c r="B13" s="136" t="s">
        <v>255</v>
      </c>
      <c r="C13" s="133"/>
      <c r="D13" s="133"/>
      <c r="E13" s="133"/>
      <c r="F13" s="133"/>
      <c r="G13" s="133"/>
      <c r="H13" s="133"/>
      <c r="I13" s="133"/>
      <c r="J13" s="133"/>
      <c r="K13" s="134"/>
    </row>
    <row r="14" spans="1:11" ht="15" customHeight="1">
      <c r="A14" s="132"/>
      <c r="B14" s="133"/>
      <c r="C14" s="789" t="s">
        <v>256</v>
      </c>
      <c r="D14" s="789"/>
      <c r="E14" s="789"/>
      <c r="F14" s="789"/>
      <c r="G14" s="789"/>
      <c r="H14" s="789"/>
      <c r="I14" s="789"/>
      <c r="J14" s="789"/>
      <c r="K14" s="477"/>
    </row>
    <row r="15" spans="1:11" ht="15" customHeight="1">
      <c r="A15" s="132"/>
      <c r="B15" s="133"/>
      <c r="C15" s="789"/>
      <c r="D15" s="789"/>
      <c r="E15" s="789"/>
      <c r="F15" s="789"/>
      <c r="G15" s="789"/>
      <c r="H15" s="789"/>
      <c r="I15" s="789"/>
      <c r="J15" s="789"/>
      <c r="K15" s="477"/>
    </row>
    <row r="16" spans="1:11" ht="15" customHeight="1">
      <c r="A16" s="132"/>
      <c r="B16" s="133"/>
      <c r="C16" s="789"/>
      <c r="D16" s="789"/>
      <c r="E16" s="789"/>
      <c r="F16" s="789"/>
      <c r="G16" s="789"/>
      <c r="H16" s="789"/>
      <c r="I16" s="789"/>
      <c r="J16" s="789"/>
      <c r="K16" s="477"/>
    </row>
    <row r="17" spans="1:11" ht="15" customHeight="1">
      <c r="A17" s="132"/>
      <c r="B17" s="133"/>
      <c r="C17" s="789"/>
      <c r="D17" s="789"/>
      <c r="E17" s="789"/>
      <c r="F17" s="789"/>
      <c r="G17" s="789"/>
      <c r="H17" s="789"/>
      <c r="I17" s="789"/>
      <c r="J17" s="789"/>
      <c r="K17" s="477"/>
    </row>
    <row r="18" spans="1:11" ht="12" customHeight="1">
      <c r="A18" s="132"/>
      <c r="B18" s="133"/>
      <c r="C18" s="789"/>
      <c r="D18" s="789"/>
      <c r="E18" s="789"/>
      <c r="F18" s="789"/>
      <c r="G18" s="789"/>
      <c r="H18" s="789"/>
      <c r="I18" s="789"/>
      <c r="J18" s="789"/>
      <c r="K18" s="477"/>
    </row>
    <row r="19" spans="1:11" ht="6" customHeight="1">
      <c r="A19" s="132"/>
      <c r="B19" s="133"/>
      <c r="C19" s="478"/>
      <c r="D19" s="478"/>
      <c r="E19" s="478"/>
      <c r="F19" s="478"/>
      <c r="G19" s="478"/>
      <c r="H19" s="478"/>
      <c r="I19" s="478"/>
      <c r="J19" s="478"/>
      <c r="K19" s="477"/>
    </row>
    <row r="20" spans="1:11" ht="25.5" customHeight="1">
      <c r="A20" s="132"/>
      <c r="B20" s="133"/>
      <c r="C20" s="790" t="s">
        <v>257</v>
      </c>
      <c r="D20" s="790"/>
      <c r="E20" s="790"/>
      <c r="F20" s="790"/>
      <c r="G20" s="790"/>
      <c r="H20" s="790"/>
      <c r="I20" s="641" t="s">
        <v>532</v>
      </c>
      <c r="J20" s="642"/>
      <c r="K20" s="479"/>
    </row>
    <row r="21" spans="1:11" ht="6" customHeight="1">
      <c r="A21" s="132"/>
      <c r="B21" s="133"/>
      <c r="C21" s="480"/>
      <c r="D21" s="480"/>
      <c r="E21" s="480"/>
      <c r="F21" s="480"/>
      <c r="G21" s="480"/>
      <c r="H21" s="480"/>
      <c r="I21" s="481"/>
      <c r="J21" s="481"/>
      <c r="K21" s="477"/>
    </row>
    <row r="22" spans="1:11" ht="15" customHeight="1">
      <c r="A22" s="132"/>
      <c r="B22" s="140" t="s">
        <v>199</v>
      </c>
      <c r="C22" s="776" t="s">
        <v>198</v>
      </c>
      <c r="D22" s="776"/>
      <c r="E22" s="776"/>
      <c r="F22" s="776"/>
      <c r="G22" s="776"/>
      <c r="H22" s="776"/>
      <c r="I22" s="776"/>
      <c r="J22" s="776"/>
      <c r="K22" s="477"/>
    </row>
    <row r="23" spans="1:11" ht="15" customHeight="1">
      <c r="A23" s="132"/>
      <c r="B23" s="133"/>
      <c r="C23" s="776"/>
      <c r="D23" s="776"/>
      <c r="E23" s="776"/>
      <c r="F23" s="776"/>
      <c r="G23" s="776"/>
      <c r="H23" s="776"/>
      <c r="I23" s="776"/>
      <c r="J23" s="776"/>
      <c r="K23" s="477"/>
    </row>
    <row r="24" spans="1:11" ht="15" customHeight="1">
      <c r="A24" s="132"/>
      <c r="B24" s="133"/>
      <c r="C24" s="776"/>
      <c r="D24" s="776"/>
      <c r="E24" s="776"/>
      <c r="F24" s="776"/>
      <c r="G24" s="776"/>
      <c r="H24" s="776"/>
      <c r="I24" s="776"/>
      <c r="J24" s="776"/>
      <c r="K24" s="477"/>
    </row>
    <row r="25" spans="1:11" ht="15" customHeight="1">
      <c r="A25" s="132"/>
      <c r="B25" s="133"/>
      <c r="C25" s="776"/>
      <c r="D25" s="776"/>
      <c r="E25" s="776"/>
      <c r="F25" s="776"/>
      <c r="G25" s="776"/>
      <c r="H25" s="776"/>
      <c r="I25" s="776"/>
      <c r="J25" s="776"/>
      <c r="K25" s="477"/>
    </row>
    <row r="26" spans="1:11" ht="7.5" customHeight="1">
      <c r="A26" s="132"/>
      <c r="B26" s="133"/>
      <c r="C26" s="478"/>
      <c r="D26" s="478"/>
      <c r="E26" s="478"/>
      <c r="F26" s="478"/>
      <c r="G26" s="478"/>
      <c r="H26" s="478"/>
      <c r="I26" s="478"/>
      <c r="J26" s="478"/>
      <c r="K26" s="477"/>
    </row>
    <row r="27" spans="1:11" ht="17.25" customHeight="1">
      <c r="A27" s="132"/>
      <c r="B27" s="482"/>
      <c r="C27" s="778" t="s">
        <v>249</v>
      </c>
      <c r="D27" s="779"/>
      <c r="E27" s="779"/>
      <c r="F27" s="483"/>
      <c r="G27" s="131" t="s">
        <v>242</v>
      </c>
      <c r="H27" s="355"/>
      <c r="I27" s="483" t="s">
        <v>126</v>
      </c>
      <c r="J27" s="774" t="s">
        <v>20</v>
      </c>
      <c r="K27" s="775"/>
    </row>
    <row r="28" spans="1:11" ht="17.25" customHeight="1">
      <c r="A28" s="132"/>
      <c r="B28" s="484"/>
      <c r="C28" s="780" t="s">
        <v>250</v>
      </c>
      <c r="D28" s="779"/>
      <c r="E28" s="779"/>
      <c r="F28" s="485"/>
      <c r="G28" s="131" t="s">
        <v>243</v>
      </c>
      <c r="H28" s="356"/>
      <c r="I28" s="486" t="s">
        <v>259</v>
      </c>
      <c r="J28" s="774" t="s">
        <v>39</v>
      </c>
      <c r="K28" s="775"/>
    </row>
    <row r="29" spans="1:11" ht="17.25" customHeight="1">
      <c r="A29" s="132"/>
      <c r="B29" s="484"/>
      <c r="C29" s="780" t="s">
        <v>251</v>
      </c>
      <c r="D29" s="779"/>
      <c r="E29" s="779"/>
      <c r="F29" s="779"/>
      <c r="G29" s="131" t="s">
        <v>244</v>
      </c>
      <c r="H29" s="357"/>
      <c r="I29" s="486" t="s">
        <v>127</v>
      </c>
      <c r="J29" s="448" t="s">
        <v>61</v>
      </c>
      <c r="K29" s="301"/>
    </row>
    <row r="30" spans="1:11" ht="17.25" customHeight="1">
      <c r="A30" s="132"/>
      <c r="B30" s="487"/>
      <c r="C30" s="780" t="s">
        <v>252</v>
      </c>
      <c r="D30" s="780"/>
      <c r="E30" s="780"/>
      <c r="F30" s="780"/>
      <c r="G30" s="131" t="s">
        <v>245</v>
      </c>
      <c r="H30" s="358"/>
      <c r="I30" s="486" t="s">
        <v>128</v>
      </c>
      <c r="J30" s="774" t="s">
        <v>16</v>
      </c>
      <c r="K30" s="775"/>
    </row>
    <row r="31" spans="1:11" ht="17.25" customHeight="1">
      <c r="A31" s="132"/>
      <c r="B31" s="487"/>
      <c r="C31" s="780" t="s">
        <v>253</v>
      </c>
      <c r="D31" s="780"/>
      <c r="E31" s="780"/>
      <c r="F31" s="780"/>
      <c r="G31" s="131" t="s">
        <v>246</v>
      </c>
      <c r="H31" s="359"/>
      <c r="I31" s="486" t="s">
        <v>129</v>
      </c>
      <c r="J31" s="774" t="s">
        <v>20</v>
      </c>
      <c r="K31" s="775"/>
    </row>
    <row r="32" spans="1:11" ht="17.25" customHeight="1">
      <c r="A32" s="132"/>
      <c r="B32" s="489"/>
      <c r="C32" s="785" t="s">
        <v>254</v>
      </c>
      <c r="D32" s="785"/>
      <c r="E32" s="785"/>
      <c r="F32" s="785"/>
      <c r="G32" s="131" t="s">
        <v>247</v>
      </c>
      <c r="H32" s="359"/>
      <c r="I32" s="486" t="s">
        <v>129</v>
      </c>
      <c r="J32" s="774" t="s">
        <v>20</v>
      </c>
      <c r="K32" s="775"/>
    </row>
    <row r="33" spans="1:11" ht="17.25" customHeight="1">
      <c r="A33" s="132"/>
      <c r="B33" s="489"/>
      <c r="C33" s="785" t="s">
        <v>258</v>
      </c>
      <c r="D33" s="785"/>
      <c r="E33" s="785"/>
      <c r="F33" s="785"/>
      <c r="G33" s="131" t="s">
        <v>248</v>
      </c>
      <c r="H33" s="488" t="str">
        <f>IF(COUNTBLANK(H27:H32)=0,IF(H35="乾　式","0.00",10^(7.203-1735.74/(H30+234))),"")</f>
        <v/>
      </c>
      <c r="I33" s="486" t="s">
        <v>129</v>
      </c>
      <c r="J33" s="774" t="s">
        <v>20</v>
      </c>
      <c r="K33" s="775"/>
    </row>
    <row r="34" spans="1:11" ht="4.5" customHeight="1">
      <c r="A34" s="132"/>
      <c r="B34" s="489"/>
      <c r="C34" s="490"/>
      <c r="D34" s="490"/>
      <c r="E34" s="490"/>
      <c r="F34" s="490"/>
      <c r="G34" s="491"/>
      <c r="H34" s="492"/>
      <c r="I34" s="486"/>
      <c r="J34" s="449"/>
      <c r="K34" s="450"/>
    </row>
    <row r="35" spans="1:11" ht="17.25" customHeight="1">
      <c r="A35" s="142"/>
      <c r="B35" s="143"/>
      <c r="C35" s="334" t="s">
        <v>474</v>
      </c>
      <c r="D35" s="133"/>
      <c r="E35" s="451"/>
      <c r="F35" s="451"/>
      <c r="G35" s="451"/>
      <c r="H35" s="537" t="s">
        <v>533</v>
      </c>
      <c r="I35" s="486"/>
      <c r="J35" s="483"/>
      <c r="K35" s="134"/>
    </row>
    <row r="36" spans="1:11" ht="17.25" customHeight="1">
      <c r="A36" s="132"/>
      <c r="B36" s="143"/>
      <c r="C36" s="451" t="s">
        <v>260</v>
      </c>
      <c r="D36" s="451"/>
      <c r="E36" s="451"/>
      <c r="F36" s="451"/>
      <c r="G36" s="451"/>
      <c r="H36" s="451"/>
      <c r="I36" s="451"/>
      <c r="J36" s="483"/>
      <c r="K36" s="141"/>
    </row>
    <row r="37" spans="1:11" ht="17.25" customHeight="1">
      <c r="A37" s="132"/>
      <c r="B37" s="143"/>
      <c r="C37" s="451" t="s">
        <v>261</v>
      </c>
      <c r="D37" s="451"/>
      <c r="E37" s="451"/>
      <c r="F37" s="451"/>
      <c r="G37" s="451"/>
      <c r="H37" s="451"/>
      <c r="I37" s="451"/>
      <c r="J37" s="493"/>
      <c r="K37" s="141"/>
    </row>
    <row r="38" spans="1:11" ht="39.75" customHeight="1">
      <c r="A38" s="6"/>
      <c r="B38" s="786"/>
      <c r="C38" s="787"/>
      <c r="D38" s="787"/>
      <c r="E38" s="787"/>
      <c r="F38" s="787"/>
      <c r="G38" s="787"/>
      <c r="H38" s="144"/>
      <c r="I38" s="133"/>
      <c r="J38" s="133"/>
      <c r="K38" s="141"/>
    </row>
    <row r="39" spans="1:11" ht="27.75" customHeight="1">
      <c r="A39" s="132"/>
      <c r="B39" s="143"/>
      <c r="C39" s="773" t="s">
        <v>263</v>
      </c>
      <c r="D39" s="773"/>
      <c r="E39" s="773"/>
      <c r="F39" s="773"/>
      <c r="G39" s="145" t="s">
        <v>262</v>
      </c>
      <c r="H39" s="360" t="str">
        <f>IF(COUNTBLANK(H27:H32)=0,(H28*H29*(H31+H32-H33)*273/3600/101.3/(273+H30)/(H27/3600)),"")</f>
        <v/>
      </c>
      <c r="I39" s="466" t="s">
        <v>130</v>
      </c>
      <c r="J39" s="774" t="s">
        <v>39</v>
      </c>
      <c r="K39" s="775"/>
    </row>
    <row r="40" spans="1:11" ht="19.5" customHeight="1">
      <c r="A40" s="132"/>
      <c r="B40" s="146"/>
      <c r="C40" s="133"/>
      <c r="D40" s="133"/>
      <c r="E40" s="133"/>
      <c r="F40" s="133"/>
      <c r="G40" s="147"/>
      <c r="H40" s="148"/>
      <c r="I40" s="448"/>
      <c r="J40" s="448"/>
      <c r="K40" s="149"/>
    </row>
    <row r="41" spans="1:11" ht="15" customHeight="1">
      <c r="A41" s="132"/>
      <c r="B41" s="140" t="s">
        <v>199</v>
      </c>
      <c r="C41" s="777" t="s">
        <v>200</v>
      </c>
      <c r="D41" s="777"/>
      <c r="E41" s="777"/>
      <c r="F41" s="777"/>
      <c r="G41" s="777"/>
      <c r="H41" s="777"/>
      <c r="I41" s="777"/>
      <c r="J41" s="777"/>
      <c r="K41" s="477"/>
    </row>
    <row r="42" spans="1:11" ht="15" customHeight="1">
      <c r="A42" s="132"/>
      <c r="B42" s="133"/>
      <c r="C42" s="777"/>
      <c r="D42" s="777"/>
      <c r="E42" s="777"/>
      <c r="F42" s="777"/>
      <c r="G42" s="777"/>
      <c r="H42" s="777"/>
      <c r="I42" s="777"/>
      <c r="J42" s="777"/>
      <c r="K42" s="477"/>
    </row>
    <row r="43" spans="1:11" ht="15" customHeight="1">
      <c r="A43" s="132"/>
      <c r="B43" s="133"/>
      <c r="C43" s="777"/>
      <c r="D43" s="777"/>
      <c r="E43" s="777"/>
      <c r="F43" s="777"/>
      <c r="G43" s="777"/>
      <c r="H43" s="777"/>
      <c r="I43" s="777"/>
      <c r="J43" s="777"/>
      <c r="K43" s="477"/>
    </row>
    <row r="44" spans="1:11" ht="86.45" customHeight="1">
      <c r="A44" s="132"/>
      <c r="B44" s="133"/>
      <c r="C44" s="777"/>
      <c r="D44" s="777"/>
      <c r="E44" s="777"/>
      <c r="F44" s="777"/>
      <c r="G44" s="777"/>
      <c r="H44" s="777"/>
      <c r="I44" s="777"/>
      <c r="J44" s="777"/>
      <c r="K44" s="477"/>
    </row>
    <row r="45" spans="1:11" ht="24" customHeight="1">
      <c r="A45" s="132"/>
      <c r="B45" s="143"/>
      <c r="C45" s="773" t="s">
        <v>263</v>
      </c>
      <c r="D45" s="773"/>
      <c r="E45" s="773"/>
      <c r="F45" s="773"/>
      <c r="G45" s="155" t="s">
        <v>264</v>
      </c>
      <c r="H45" s="538"/>
      <c r="I45" s="466" t="s">
        <v>189</v>
      </c>
      <c r="J45" s="781" t="s">
        <v>39</v>
      </c>
      <c r="K45" s="782"/>
    </row>
    <row r="46" spans="1:11" ht="15" customHeight="1" thickBot="1">
      <c r="A46" s="151"/>
      <c r="B46" s="152"/>
      <c r="C46" s="152"/>
      <c r="D46" s="152"/>
      <c r="E46" s="152"/>
      <c r="F46" s="153"/>
      <c r="G46" s="153"/>
      <c r="H46" s="153"/>
      <c r="I46" s="153"/>
      <c r="J46" s="153"/>
      <c r="K46" s="154"/>
    </row>
    <row r="47" spans="1:11" ht="15" customHeight="1" thickBot="1">
      <c r="A47" s="304"/>
      <c r="B47" s="304"/>
      <c r="C47" s="304"/>
      <c r="D47" s="304"/>
      <c r="E47" s="304"/>
      <c r="F47" s="304"/>
      <c r="G47" s="304"/>
      <c r="H47" s="304"/>
      <c r="I47" s="304"/>
      <c r="J47" s="304"/>
      <c r="K47" s="304"/>
    </row>
    <row r="48" spans="1:11" ht="18.75" customHeight="1" thickBot="1">
      <c r="A48" s="763" t="s">
        <v>197</v>
      </c>
      <c r="B48" s="764"/>
      <c r="C48" s="764"/>
      <c r="D48" s="764"/>
      <c r="E48" s="764"/>
      <c r="F48" s="764"/>
      <c r="G48" s="764"/>
      <c r="H48" s="764"/>
      <c r="I48" s="764"/>
      <c r="J48" s="764"/>
      <c r="K48" s="765"/>
    </row>
    <row r="49" spans="1:11" ht="28.5" customHeight="1" thickTop="1">
      <c r="A49" s="354" t="s">
        <v>206</v>
      </c>
      <c r="B49" s="766" t="str">
        <f>表紙!$B$3&amp;"　　（１．定格エネルギー消費量）"</f>
        <v>ラックコンベア洗浄機、フライトコンベア洗浄機、フラットコンベア洗浄機(選択してください)　　（１．定格エネルギー消費量）</v>
      </c>
      <c r="C49" s="767"/>
      <c r="D49" s="767"/>
      <c r="E49" s="767"/>
      <c r="F49" s="767"/>
      <c r="G49" s="767"/>
      <c r="H49" s="767"/>
      <c r="I49" s="767"/>
      <c r="J49" s="766" t="str">
        <f>"ガス種："&amp;表紙!$K$11</f>
        <v>ガス種：選択して下さい</v>
      </c>
      <c r="K49" s="768"/>
    </row>
    <row r="50" spans="1:11" ht="18" customHeight="1" thickBot="1">
      <c r="A50" s="461" t="s">
        <v>282</v>
      </c>
      <c r="B50" s="770" t="str">
        <f>IF(表紙!$B$6=0,"",表紙!$B$6)</f>
        <v/>
      </c>
      <c r="C50" s="771"/>
      <c r="D50" s="771"/>
      <c r="E50" s="771"/>
      <c r="F50" s="771"/>
      <c r="G50" s="784"/>
      <c r="H50" s="5" t="s">
        <v>1</v>
      </c>
      <c r="I50" s="770" t="str">
        <f>IF(表紙!$H$5=0,"",表紙!$H$5)</f>
        <v/>
      </c>
      <c r="J50" s="771"/>
      <c r="K50" s="772"/>
    </row>
    <row r="51" spans="1:11" s="2" customFormat="1" ht="15" customHeight="1">
      <c r="A51" s="132"/>
      <c r="B51" s="133"/>
      <c r="C51" s="133"/>
      <c r="D51" s="133"/>
      <c r="E51" s="133"/>
      <c r="F51" s="133"/>
      <c r="G51" s="133"/>
      <c r="H51" s="133"/>
      <c r="I51" s="133"/>
      <c r="J51" s="133"/>
      <c r="K51" s="134"/>
    </row>
    <row r="52" spans="1:11" ht="26.25" customHeight="1" thickBot="1">
      <c r="A52" s="132"/>
      <c r="B52" s="136" t="s">
        <v>265</v>
      </c>
      <c r="C52" s="133"/>
      <c r="D52" s="133"/>
      <c r="E52" s="133"/>
      <c r="F52" s="133"/>
      <c r="G52" s="147"/>
      <c r="H52" s="148"/>
      <c r="I52" s="448"/>
      <c r="J52" s="448"/>
      <c r="K52" s="149"/>
    </row>
    <row r="53" spans="1:11" ht="21.75" customHeight="1" thickBot="1">
      <c r="A53" s="132"/>
      <c r="B53" s="143"/>
      <c r="C53" s="156" t="s">
        <v>266</v>
      </c>
      <c r="D53" s="133"/>
      <c r="E53" s="133"/>
      <c r="F53" s="451"/>
      <c r="G53" s="155" t="s">
        <v>512</v>
      </c>
      <c r="H53" s="539"/>
      <c r="I53" s="130" t="s">
        <v>130</v>
      </c>
      <c r="J53" s="774" t="s">
        <v>39</v>
      </c>
      <c r="K53" s="775"/>
    </row>
    <row r="54" spans="1:11" ht="12" customHeight="1">
      <c r="A54" s="132"/>
      <c r="B54" s="143"/>
      <c r="C54" s="133"/>
      <c r="D54" s="133"/>
      <c r="E54" s="133"/>
      <c r="F54" s="451"/>
      <c r="G54" s="150"/>
      <c r="H54" s="159"/>
      <c r="I54" s="466"/>
      <c r="J54" s="449"/>
      <c r="K54" s="450"/>
    </row>
    <row r="55" spans="1:11" ht="20.25" customHeight="1">
      <c r="A55" s="132"/>
      <c r="B55" s="136" t="s">
        <v>267</v>
      </c>
      <c r="C55" s="133"/>
      <c r="D55" s="133"/>
      <c r="E55" s="133"/>
      <c r="F55" s="451"/>
      <c r="G55" s="157"/>
      <c r="H55" s="159"/>
      <c r="I55" s="466"/>
      <c r="J55" s="449"/>
      <c r="K55" s="450"/>
    </row>
    <row r="56" spans="1:11" ht="53.25" customHeight="1" thickBot="1">
      <c r="A56" s="142"/>
      <c r="B56" s="144"/>
      <c r="C56" s="143"/>
      <c r="D56" s="144"/>
      <c r="E56" s="144"/>
      <c r="F56" s="143"/>
      <c r="G56" s="158"/>
      <c r="H56" s="160"/>
      <c r="I56" s="144"/>
      <c r="J56" s="144"/>
      <c r="K56" s="137"/>
    </row>
    <row r="57" spans="1:11" ht="23.25" customHeight="1" thickBot="1">
      <c r="A57" s="142"/>
      <c r="B57" s="773" t="s">
        <v>499</v>
      </c>
      <c r="C57" s="773"/>
      <c r="D57" s="773"/>
      <c r="E57" s="773"/>
      <c r="F57" s="773"/>
      <c r="G57" s="155" t="s">
        <v>268</v>
      </c>
      <c r="H57" s="361" t="str">
        <f>IF(I20="①",(H39/H53)*100-100,IF(I20="②",(H45/H53)*100-100,""))</f>
        <v/>
      </c>
      <c r="I57" s="334" t="s">
        <v>131</v>
      </c>
      <c r="J57" s="334"/>
      <c r="K57" s="149"/>
    </row>
    <row r="58" spans="1:11" ht="12" customHeight="1">
      <c r="A58" s="142"/>
      <c r="B58" s="773"/>
      <c r="C58" s="773"/>
      <c r="D58" s="773"/>
      <c r="E58" s="773"/>
      <c r="F58" s="773"/>
      <c r="G58" s="158"/>
      <c r="H58" s="161"/>
      <c r="I58" s="161"/>
      <c r="J58" s="334"/>
      <c r="K58" s="162"/>
    </row>
    <row r="59" spans="1:11" ht="15" customHeight="1">
      <c r="A59" s="142"/>
      <c r="B59" s="335"/>
      <c r="C59" s="335" t="s">
        <v>498</v>
      </c>
      <c r="D59" s="335"/>
      <c r="E59" s="335"/>
      <c r="F59" s="163">
        <v>10</v>
      </c>
      <c r="G59" s="164">
        <v>-10</v>
      </c>
      <c r="H59" s="158"/>
      <c r="I59" s="160"/>
      <c r="J59" s="144"/>
      <c r="K59" s="134"/>
    </row>
    <row r="60" spans="1:11" ht="16.5" customHeight="1">
      <c r="A60" s="142"/>
      <c r="B60" s="143"/>
      <c r="C60" s="143"/>
      <c r="D60" s="143"/>
      <c r="E60" s="143"/>
      <c r="F60" s="143"/>
      <c r="G60" s="158"/>
      <c r="H60" s="161"/>
      <c r="I60" s="161"/>
      <c r="J60" s="161"/>
      <c r="K60" s="162"/>
    </row>
    <row r="61" spans="1:11" ht="15" customHeight="1">
      <c r="A61" s="142"/>
      <c r="B61" s="165"/>
      <c r="C61" s="165"/>
      <c r="D61" s="165"/>
      <c r="E61" s="163"/>
      <c r="F61" s="146"/>
      <c r="G61" s="164"/>
      <c r="H61" s="158"/>
      <c r="I61" s="160"/>
      <c r="J61" s="144"/>
      <c r="K61" s="134"/>
    </row>
    <row r="62" spans="1:11" s="2" customFormat="1" ht="15" customHeight="1">
      <c r="A62" s="132"/>
      <c r="B62" s="136" t="s">
        <v>9</v>
      </c>
      <c r="C62" s="133"/>
      <c r="D62" s="133"/>
      <c r="E62" s="133"/>
      <c r="F62" s="133"/>
      <c r="G62" s="133"/>
      <c r="H62" s="133"/>
      <c r="I62" s="133"/>
      <c r="J62" s="133"/>
      <c r="K62" s="134"/>
    </row>
    <row r="63" spans="1:11" s="2" customFormat="1" ht="15" customHeight="1">
      <c r="A63" s="132"/>
      <c r="B63" s="133"/>
      <c r="C63" s="795" t="s">
        <v>469</v>
      </c>
      <c r="D63" s="795"/>
      <c r="E63" s="795"/>
      <c r="F63" s="795"/>
      <c r="G63" s="795"/>
      <c r="H63" s="795"/>
      <c r="I63" s="795"/>
      <c r="J63" s="795"/>
      <c r="K63" s="134"/>
    </row>
    <row r="64" spans="1:11" s="2" customFormat="1" ht="15" customHeight="1">
      <c r="A64" s="132"/>
      <c r="B64" s="133"/>
      <c r="C64" s="795"/>
      <c r="D64" s="795"/>
      <c r="E64" s="795"/>
      <c r="F64" s="795"/>
      <c r="G64" s="795"/>
      <c r="H64" s="795"/>
      <c r="I64" s="795"/>
      <c r="J64" s="795"/>
      <c r="K64" s="134"/>
    </row>
    <row r="65" spans="1:11" s="2" customFormat="1" ht="8.25" customHeight="1">
      <c r="A65" s="138"/>
      <c r="B65" s="133"/>
      <c r="C65" s="795"/>
      <c r="D65" s="795"/>
      <c r="E65" s="795"/>
      <c r="F65" s="795"/>
      <c r="G65" s="795"/>
      <c r="H65" s="795"/>
      <c r="I65" s="795"/>
      <c r="J65" s="795"/>
      <c r="K65" s="134"/>
    </row>
    <row r="66" spans="1:11" s="2" customFormat="1" ht="42" customHeight="1">
      <c r="A66" s="132"/>
      <c r="B66" s="451"/>
      <c r="C66" s="451"/>
      <c r="D66" s="451"/>
      <c r="E66" s="451"/>
      <c r="F66" s="451"/>
      <c r="G66" s="451"/>
      <c r="H66" s="451"/>
      <c r="I66" s="451"/>
      <c r="J66" s="451"/>
      <c r="K66" s="134"/>
    </row>
    <row r="67" spans="1:11" s="2" customFormat="1" ht="20.25" customHeight="1">
      <c r="A67" s="132"/>
      <c r="B67" s="136" t="s">
        <v>269</v>
      </c>
      <c r="C67" s="133"/>
      <c r="D67" s="133"/>
      <c r="E67" s="133"/>
      <c r="F67" s="133"/>
      <c r="G67" s="133"/>
      <c r="H67" s="133"/>
      <c r="I67" s="133"/>
      <c r="J67" s="133"/>
      <c r="K67" s="134"/>
    </row>
    <row r="68" spans="1:11" s="2" customFormat="1" ht="15" customHeight="1">
      <c r="A68" s="132"/>
      <c r="B68" s="133"/>
      <c r="C68" s="794" t="s">
        <v>270</v>
      </c>
      <c r="D68" s="794"/>
      <c r="E68" s="794"/>
      <c r="F68" s="794"/>
      <c r="G68" s="794"/>
      <c r="H68" s="794"/>
      <c r="I68" s="794"/>
      <c r="J68" s="794"/>
      <c r="K68" s="134"/>
    </row>
    <row r="69" spans="1:11" s="2" customFormat="1" ht="15" customHeight="1">
      <c r="A69" s="132"/>
      <c r="B69" s="133"/>
      <c r="C69" s="794"/>
      <c r="D69" s="794"/>
      <c r="E69" s="794"/>
      <c r="F69" s="794"/>
      <c r="G69" s="794"/>
      <c r="H69" s="794"/>
      <c r="I69" s="794"/>
      <c r="J69" s="794"/>
      <c r="K69" s="134"/>
    </row>
    <row r="70" spans="1:11" s="2" customFormat="1" ht="15" customHeight="1">
      <c r="A70" s="132"/>
      <c r="B70" s="133"/>
      <c r="C70" s="794"/>
      <c r="D70" s="794"/>
      <c r="E70" s="794"/>
      <c r="F70" s="794"/>
      <c r="G70" s="794"/>
      <c r="H70" s="794"/>
      <c r="I70" s="794"/>
      <c r="J70" s="794"/>
      <c r="K70" s="134"/>
    </row>
    <row r="71" spans="1:11" s="2" customFormat="1" ht="17.25" customHeight="1">
      <c r="A71" s="132"/>
      <c r="B71" s="133"/>
      <c r="C71" s="794"/>
      <c r="D71" s="794"/>
      <c r="E71" s="794"/>
      <c r="F71" s="794"/>
      <c r="G71" s="794"/>
      <c r="H71" s="794"/>
      <c r="I71" s="794"/>
      <c r="J71" s="794"/>
      <c r="K71" s="134"/>
    </row>
    <row r="72" spans="1:11" s="2" customFormat="1" ht="17.45" customHeight="1">
      <c r="A72" s="132"/>
      <c r="B72" s="133"/>
      <c r="C72" s="794"/>
      <c r="D72" s="794"/>
      <c r="E72" s="794"/>
      <c r="F72" s="794"/>
      <c r="G72" s="794"/>
      <c r="H72" s="794"/>
      <c r="I72" s="794"/>
      <c r="J72" s="794"/>
      <c r="K72" s="134"/>
    </row>
    <row r="73" spans="1:11" s="2" customFormat="1" ht="22.5" customHeight="1">
      <c r="A73" s="132"/>
      <c r="B73" s="136" t="s">
        <v>272</v>
      </c>
      <c r="C73" s="452"/>
      <c r="D73" s="452"/>
      <c r="E73" s="452"/>
      <c r="F73" s="452"/>
      <c r="G73" s="452"/>
      <c r="H73" s="452"/>
      <c r="I73" s="452"/>
      <c r="J73" s="452"/>
      <c r="K73" s="134"/>
    </row>
    <row r="74" spans="1:11" s="2" customFormat="1" ht="18.75" customHeight="1">
      <c r="A74" s="132"/>
      <c r="B74" s="166" t="s">
        <v>191</v>
      </c>
      <c r="C74" s="166"/>
      <c r="D74" s="452"/>
      <c r="E74" s="452"/>
      <c r="F74" s="452"/>
      <c r="G74" s="452"/>
      <c r="H74" s="452"/>
      <c r="I74" s="452"/>
      <c r="J74" s="452"/>
      <c r="K74" s="134"/>
    </row>
    <row r="75" spans="1:11" ht="16.5" customHeight="1">
      <c r="A75" s="142"/>
      <c r="B75" s="451"/>
      <c r="C75" s="143"/>
      <c r="D75" s="133"/>
      <c r="E75" s="133"/>
      <c r="F75" s="143"/>
      <c r="G75" s="158" t="s">
        <v>113</v>
      </c>
      <c r="H75" s="540"/>
      <c r="I75" s="466" t="s">
        <v>114</v>
      </c>
      <c r="J75" s="774" t="s">
        <v>39</v>
      </c>
      <c r="K75" s="775"/>
    </row>
    <row r="76" spans="1:11" ht="3.75" customHeight="1" thickBot="1">
      <c r="A76" s="142"/>
      <c r="B76" s="146"/>
      <c r="C76" s="133"/>
      <c r="D76" s="133"/>
      <c r="E76" s="133"/>
      <c r="F76" s="143"/>
      <c r="G76" s="147"/>
      <c r="H76" s="362"/>
      <c r="I76" s="448"/>
      <c r="J76" s="448"/>
      <c r="K76" s="469"/>
    </row>
    <row r="77" spans="1:11" ht="21" customHeight="1" thickBot="1">
      <c r="A77" s="142"/>
      <c r="B77" s="133"/>
      <c r="C77" s="133"/>
      <c r="D77" s="133"/>
      <c r="E77" s="451"/>
      <c r="F77" s="143"/>
      <c r="G77" s="158" t="s">
        <v>115</v>
      </c>
      <c r="H77" s="539"/>
      <c r="I77" s="466" t="s">
        <v>114</v>
      </c>
      <c r="J77" s="774" t="s">
        <v>39</v>
      </c>
      <c r="K77" s="775"/>
    </row>
    <row r="78" spans="1:11" ht="3" customHeight="1">
      <c r="A78" s="142"/>
      <c r="B78" s="133"/>
      <c r="C78" s="133"/>
      <c r="D78" s="133"/>
      <c r="E78" s="451"/>
      <c r="F78" s="143"/>
      <c r="G78" s="157"/>
      <c r="H78" s="363"/>
      <c r="I78" s="466"/>
      <c r="J78" s="448"/>
      <c r="K78" s="469"/>
    </row>
    <row r="79" spans="1:11" ht="16.5" customHeight="1">
      <c r="A79" s="142"/>
      <c r="B79" s="143"/>
      <c r="C79" s="133"/>
      <c r="D79" s="133"/>
      <c r="E79" s="451"/>
      <c r="F79" s="143"/>
      <c r="G79" s="158" t="s">
        <v>116</v>
      </c>
      <c r="H79" s="541"/>
      <c r="I79" s="466" t="s">
        <v>117</v>
      </c>
      <c r="J79" s="774" t="s">
        <v>61</v>
      </c>
      <c r="K79" s="775"/>
    </row>
    <row r="80" spans="1:11" ht="3.75" customHeight="1" thickBot="1">
      <c r="A80" s="142"/>
      <c r="B80" s="144"/>
      <c r="C80" s="143"/>
      <c r="D80" s="144"/>
      <c r="E80" s="143"/>
      <c r="F80" s="143"/>
      <c r="G80" s="158"/>
      <c r="H80" s="364"/>
      <c r="I80" s="144"/>
      <c r="J80" s="448"/>
      <c r="K80" s="469"/>
    </row>
    <row r="81" spans="1:11" ht="21" customHeight="1" thickBot="1">
      <c r="A81" s="142"/>
      <c r="B81" s="451" t="s">
        <v>470</v>
      </c>
      <c r="C81" s="167"/>
      <c r="D81" s="143"/>
      <c r="E81" s="146"/>
      <c r="F81" s="143"/>
      <c r="G81" s="169" t="s">
        <v>271</v>
      </c>
      <c r="H81" s="365" t="str">
        <f>IF(OR(H77="",H75=""),"",(H75/H77)*100-100)</f>
        <v/>
      </c>
      <c r="I81" s="334" t="s">
        <v>118</v>
      </c>
      <c r="J81" s="448"/>
      <c r="K81" s="469"/>
    </row>
    <row r="82" spans="1:11" ht="14.25" customHeight="1">
      <c r="A82" s="142"/>
      <c r="B82" s="146"/>
      <c r="C82" s="769" t="s">
        <v>97</v>
      </c>
      <c r="D82" s="769"/>
      <c r="E82" s="163">
        <f>IF(AND(H77&gt;0.1,H77&lt;=1),15,IF(H77&gt;1,10,20))</f>
        <v>20</v>
      </c>
      <c r="F82" s="163">
        <f>IF(AND(H77&gt;0.1,H77&lt;=1),-15,IF(H77&gt;1,-10,-20))</f>
        <v>-20</v>
      </c>
      <c r="G82" s="157"/>
      <c r="H82" s="366"/>
      <c r="I82" s="168"/>
      <c r="J82" s="448"/>
      <c r="K82" s="469"/>
    </row>
    <row r="83" spans="1:11" ht="14.25" customHeight="1">
      <c r="A83" s="142"/>
      <c r="B83" s="146"/>
      <c r="C83" s="447"/>
      <c r="D83" s="447"/>
      <c r="E83" s="163"/>
      <c r="F83" s="163"/>
      <c r="G83" s="157"/>
      <c r="H83" s="366"/>
      <c r="I83" s="168"/>
      <c r="J83" s="448"/>
      <c r="K83" s="469"/>
    </row>
    <row r="84" spans="1:11" ht="17.25" customHeight="1">
      <c r="A84" s="142"/>
      <c r="B84" s="166" t="s">
        <v>192</v>
      </c>
      <c r="C84" s="166"/>
      <c r="D84" s="163"/>
      <c r="E84" s="164"/>
      <c r="F84" s="143"/>
      <c r="G84" s="158"/>
      <c r="H84" s="367"/>
      <c r="I84" s="161"/>
      <c r="J84" s="448"/>
      <c r="K84" s="469"/>
    </row>
    <row r="85" spans="1:11" ht="16.5" customHeight="1">
      <c r="A85" s="142"/>
      <c r="B85" s="451"/>
      <c r="C85" s="143"/>
      <c r="D85" s="133"/>
      <c r="E85" s="133"/>
      <c r="F85" s="143"/>
      <c r="G85" s="158" t="s">
        <v>119</v>
      </c>
      <c r="H85" s="540"/>
      <c r="I85" s="466" t="s">
        <v>114</v>
      </c>
      <c r="J85" s="774" t="s">
        <v>39</v>
      </c>
      <c r="K85" s="775"/>
    </row>
    <row r="86" spans="1:11" ht="3.75" customHeight="1" thickBot="1">
      <c r="A86" s="142"/>
      <c r="B86" s="146"/>
      <c r="C86" s="133"/>
      <c r="D86" s="133"/>
      <c r="E86" s="133"/>
      <c r="F86" s="143"/>
      <c r="G86" s="147"/>
      <c r="H86" s="362"/>
      <c r="I86" s="448"/>
      <c r="J86" s="448"/>
      <c r="K86" s="469"/>
    </row>
    <row r="87" spans="1:11" ht="22.5" customHeight="1" thickBot="1">
      <c r="A87" s="142"/>
      <c r="B87" s="133"/>
      <c r="C87" s="133"/>
      <c r="D87" s="133"/>
      <c r="E87" s="451"/>
      <c r="F87" s="143"/>
      <c r="G87" s="158" t="s">
        <v>120</v>
      </c>
      <c r="H87" s="539"/>
      <c r="I87" s="466" t="s">
        <v>114</v>
      </c>
      <c r="J87" s="774" t="s">
        <v>39</v>
      </c>
      <c r="K87" s="775"/>
    </row>
    <row r="88" spans="1:11" ht="3" customHeight="1" thickBot="1">
      <c r="A88" s="142"/>
      <c r="B88" s="133"/>
      <c r="C88" s="133"/>
      <c r="D88" s="133"/>
      <c r="E88" s="451"/>
      <c r="F88" s="143"/>
      <c r="G88" s="157"/>
      <c r="H88" s="363"/>
      <c r="I88" s="466"/>
      <c r="J88" s="466"/>
      <c r="K88" s="162"/>
    </row>
    <row r="89" spans="1:11" ht="23.25" customHeight="1" thickBot="1">
      <c r="A89" s="142"/>
      <c r="B89" s="451" t="s">
        <v>500</v>
      </c>
      <c r="C89" s="451"/>
      <c r="D89" s="143"/>
      <c r="E89" s="146"/>
      <c r="F89" s="143"/>
      <c r="G89" s="169" t="s">
        <v>273</v>
      </c>
      <c r="H89" s="365" t="str">
        <f>IF(OR(H87="",H85=""),"",(H85/H87)*100-100)</f>
        <v/>
      </c>
      <c r="I89" s="334" t="s">
        <v>118</v>
      </c>
      <c r="J89" s="334"/>
      <c r="K89" s="162"/>
    </row>
    <row r="90" spans="1:11" ht="14.25" customHeight="1">
      <c r="A90" s="142"/>
      <c r="B90" s="146"/>
      <c r="C90" s="769" t="s">
        <v>97</v>
      </c>
      <c r="D90" s="769"/>
      <c r="E90" s="163">
        <f>IF(AND(H87&gt;0.1,H87&lt;=1),10,IF(H87&gt;1,5,15))</f>
        <v>15</v>
      </c>
      <c r="F90" s="163">
        <f>IF(AND(H87&gt;0.1,H87&lt;=1),-10,IF(H87&gt;1,-10,-15))</f>
        <v>-15</v>
      </c>
      <c r="G90" s="157"/>
      <c r="H90" s="168"/>
      <c r="I90" s="168"/>
      <c r="J90" s="168"/>
      <c r="K90" s="162"/>
    </row>
    <row r="91" spans="1:11" ht="16.5" customHeight="1">
      <c r="A91" s="142"/>
      <c r="B91" s="143"/>
      <c r="C91" s="143"/>
      <c r="D91" s="143"/>
      <c r="E91" s="143"/>
      <c r="F91" s="143"/>
      <c r="G91" s="158"/>
      <c r="H91" s="161"/>
      <c r="I91" s="161"/>
      <c r="J91" s="161"/>
      <c r="K91" s="162"/>
    </row>
    <row r="92" spans="1:11" ht="16.5" customHeight="1">
      <c r="A92" s="142"/>
      <c r="B92" s="143"/>
      <c r="C92" s="143"/>
      <c r="D92" s="143"/>
      <c r="E92" s="143"/>
      <c r="F92" s="143"/>
      <c r="G92" s="158"/>
      <c r="H92" s="161"/>
      <c r="I92" s="161"/>
      <c r="J92" s="161"/>
      <c r="K92" s="162"/>
    </row>
    <row r="93" spans="1:11" ht="16.5" customHeight="1" thickBot="1">
      <c r="A93" s="151"/>
      <c r="B93" s="152"/>
      <c r="C93" s="152"/>
      <c r="D93" s="152"/>
      <c r="E93" s="152"/>
      <c r="F93" s="152"/>
      <c r="G93" s="273"/>
      <c r="H93" s="288"/>
      <c r="I93" s="288"/>
      <c r="J93" s="288"/>
      <c r="K93" s="289"/>
    </row>
    <row r="94" spans="1:11" ht="16.5" customHeight="1" thickBot="1">
      <c r="A94" s="305"/>
      <c r="B94" s="305"/>
      <c r="C94" s="305"/>
      <c r="D94" s="305"/>
      <c r="E94" s="305"/>
      <c r="F94" s="305"/>
      <c r="G94" s="306"/>
      <c r="H94" s="307"/>
      <c r="I94" s="307"/>
      <c r="J94" s="307"/>
      <c r="K94" s="308"/>
    </row>
    <row r="95" spans="1:11" ht="19.5" customHeight="1" thickBot="1">
      <c r="A95" s="763" t="s">
        <v>197</v>
      </c>
      <c r="B95" s="764"/>
      <c r="C95" s="764"/>
      <c r="D95" s="764"/>
      <c r="E95" s="764"/>
      <c r="F95" s="764"/>
      <c r="G95" s="764"/>
      <c r="H95" s="764"/>
      <c r="I95" s="764"/>
      <c r="J95" s="764"/>
      <c r="K95" s="765"/>
    </row>
    <row r="96" spans="1:11" ht="28.5" customHeight="1" thickTop="1">
      <c r="A96" s="354" t="s">
        <v>206</v>
      </c>
      <c r="B96" s="766" t="str">
        <f>表紙!$B$3&amp;"　　（１．定格エネルギー消費量）"</f>
        <v>ラックコンベア洗浄機、フライトコンベア洗浄機、フラットコンベア洗浄機(選択してください)　　（１．定格エネルギー消費量）</v>
      </c>
      <c r="C96" s="767"/>
      <c r="D96" s="767"/>
      <c r="E96" s="767"/>
      <c r="F96" s="767"/>
      <c r="G96" s="767"/>
      <c r="H96" s="767"/>
      <c r="I96" s="767"/>
      <c r="J96" s="766" t="str">
        <f>"ガス種："&amp;表紙!$K$11</f>
        <v>ガス種：選択して下さい</v>
      </c>
      <c r="K96" s="768"/>
    </row>
    <row r="97" spans="1:14" ht="18" customHeight="1" thickBot="1">
      <c r="A97" s="341" t="s">
        <v>282</v>
      </c>
      <c r="B97" s="770" t="str">
        <f>IF(表紙!$B$6=0,"",表紙!$B$6)</f>
        <v/>
      </c>
      <c r="C97" s="771"/>
      <c r="D97" s="771"/>
      <c r="E97" s="771"/>
      <c r="F97" s="771"/>
      <c r="G97" s="784"/>
      <c r="H97" s="5" t="s">
        <v>1</v>
      </c>
      <c r="I97" s="770" t="str">
        <f>IF(表紙!$H$5=0,"",表紙!$H$5)</f>
        <v/>
      </c>
      <c r="J97" s="771"/>
      <c r="K97" s="772"/>
    </row>
    <row r="98" spans="1:14" ht="16.5" customHeight="1">
      <c r="A98" s="142"/>
      <c r="B98" s="143"/>
      <c r="C98" s="143"/>
      <c r="D98" s="143"/>
      <c r="E98" s="143"/>
      <c r="F98" s="143"/>
      <c r="G98" s="158"/>
      <c r="H98" s="161"/>
      <c r="I98" s="161"/>
      <c r="J98" s="161"/>
      <c r="K98" s="162"/>
    </row>
    <row r="99" spans="1:14" ht="19.5" customHeight="1">
      <c r="A99" s="170" t="s">
        <v>190</v>
      </c>
      <c r="B99" s="136" t="s">
        <v>276</v>
      </c>
      <c r="C99" s="447"/>
      <c r="D99" s="163"/>
      <c r="E99" s="164"/>
      <c r="F99" s="143"/>
      <c r="G99" s="158"/>
      <c r="H99" s="161"/>
      <c r="I99" s="161"/>
      <c r="J99" s="161"/>
      <c r="K99" s="162"/>
    </row>
    <row r="100" spans="1:14" s="2" customFormat="1" ht="17.25" customHeight="1">
      <c r="A100" s="132"/>
      <c r="B100" s="451" t="s">
        <v>473</v>
      </c>
      <c r="C100" s="451"/>
      <c r="D100" s="133"/>
      <c r="E100" s="133"/>
      <c r="F100" s="133"/>
      <c r="G100" s="155" t="s">
        <v>274</v>
      </c>
      <c r="H100" s="540"/>
      <c r="I100" s="466" t="s">
        <v>114</v>
      </c>
      <c r="J100" s="774" t="s">
        <v>39</v>
      </c>
      <c r="K100" s="775"/>
      <c r="N100" s="7"/>
    </row>
    <row r="101" spans="1:14" s="2" customFormat="1" ht="3.75" customHeight="1" thickBot="1">
      <c r="A101" s="132"/>
      <c r="B101" s="146"/>
      <c r="C101" s="146"/>
      <c r="D101" s="133"/>
      <c r="E101" s="133"/>
      <c r="F101" s="133"/>
      <c r="G101" s="173"/>
      <c r="H101" s="362"/>
      <c r="I101" s="448"/>
      <c r="J101" s="448"/>
      <c r="K101" s="469"/>
      <c r="N101" s="46"/>
    </row>
    <row r="102" spans="1:14" s="2" customFormat="1" ht="26.25" customHeight="1" thickBot="1">
      <c r="A102" s="132"/>
      <c r="B102" s="133" t="s">
        <v>472</v>
      </c>
      <c r="C102" s="133"/>
      <c r="D102" s="133"/>
      <c r="E102" s="451"/>
      <c r="F102" s="133"/>
      <c r="G102" s="155" t="s">
        <v>513</v>
      </c>
      <c r="H102" s="539"/>
      <c r="I102" s="466" t="s">
        <v>114</v>
      </c>
      <c r="J102" s="774" t="s">
        <v>39</v>
      </c>
      <c r="K102" s="775"/>
    </row>
    <row r="103" spans="1:14" ht="3.75" customHeight="1" thickBot="1">
      <c r="A103" s="142"/>
      <c r="B103" s="144"/>
      <c r="C103" s="144"/>
      <c r="D103" s="144"/>
      <c r="E103" s="143"/>
      <c r="F103" s="143"/>
      <c r="G103" s="169"/>
      <c r="H103" s="364"/>
      <c r="I103" s="144"/>
      <c r="J103" s="334"/>
      <c r="K103" s="336"/>
    </row>
    <row r="104" spans="1:14" ht="21.75" customHeight="1" thickBot="1">
      <c r="A104" s="142"/>
      <c r="B104" s="451" t="s">
        <v>471</v>
      </c>
      <c r="C104" s="451"/>
      <c r="D104" s="146"/>
      <c r="E104" s="146"/>
      <c r="F104" s="143"/>
      <c r="G104" s="155" t="s">
        <v>275</v>
      </c>
      <c r="H104" s="365" t="str">
        <f>IF(OR(H102="",H100=""),"",(H100/H102)*100-100)</f>
        <v/>
      </c>
      <c r="I104" s="334" t="s">
        <v>118</v>
      </c>
      <c r="J104" s="334"/>
      <c r="K104" s="337"/>
    </row>
    <row r="105" spans="1:14" ht="15" customHeight="1">
      <c r="A105" s="142"/>
      <c r="B105" s="146"/>
      <c r="C105" s="769" t="s">
        <v>97</v>
      </c>
      <c r="D105" s="769"/>
      <c r="E105" s="163">
        <f>IF($H$102*1000&lt;=30,25,IF($H$102*1000&lt;=100,20,IF($H$102*1000&lt;=1000,15,10)))</f>
        <v>25</v>
      </c>
      <c r="F105" s="164">
        <f>IF($H$102*1000&lt;=30,-25,IF($H$102*1000&lt;=100,-20,IF($H$102*1000&lt;=1000,-15,-10)))</f>
        <v>-25</v>
      </c>
      <c r="G105" s="168"/>
      <c r="H105" s="168"/>
      <c r="I105" s="334"/>
      <c r="J105" s="334"/>
      <c r="K105" s="162"/>
    </row>
    <row r="106" spans="1:14" ht="15" customHeight="1">
      <c r="A106" s="142"/>
      <c r="B106" s="146"/>
      <c r="C106" s="447"/>
      <c r="D106" s="447"/>
      <c r="E106" s="163"/>
      <c r="F106" s="164"/>
      <c r="G106" s="168"/>
      <c r="H106" s="168"/>
      <c r="I106" s="334"/>
      <c r="J106" s="334"/>
      <c r="K106" s="162"/>
    </row>
    <row r="107" spans="1:14" ht="14.25">
      <c r="A107" s="142"/>
      <c r="B107" s="133" t="s">
        <v>207</v>
      </c>
      <c r="C107" s="143"/>
      <c r="D107" s="143"/>
      <c r="E107" s="143"/>
      <c r="F107" s="158"/>
      <c r="G107" s="161"/>
      <c r="H107" s="161"/>
      <c r="I107" s="334"/>
      <c r="J107" s="334"/>
      <c r="K107" s="162"/>
    </row>
    <row r="108" spans="1:14" ht="15" customHeight="1">
      <c r="A108" s="135"/>
      <c r="B108" s="143"/>
      <c r="C108" s="144"/>
      <c r="D108" s="144"/>
      <c r="E108" s="143"/>
      <c r="F108" s="143"/>
      <c r="G108" s="144"/>
      <c r="H108" s="143"/>
      <c r="I108" s="133"/>
      <c r="J108" s="133"/>
      <c r="K108" s="134"/>
    </row>
    <row r="109" spans="1:14" ht="15" customHeight="1">
      <c r="A109" s="142"/>
      <c r="B109" s="133"/>
      <c r="C109" s="133"/>
      <c r="D109" s="133"/>
      <c r="E109" s="133"/>
      <c r="F109" s="133"/>
      <c r="G109" s="133"/>
      <c r="H109" s="133"/>
      <c r="I109" s="133"/>
      <c r="J109" s="133"/>
      <c r="K109" s="134"/>
    </row>
    <row r="110" spans="1:14" ht="15" customHeight="1">
      <c r="A110" s="142"/>
      <c r="B110" s="133"/>
      <c r="C110" s="133"/>
      <c r="D110" s="133"/>
      <c r="E110" s="133"/>
      <c r="F110" s="133"/>
      <c r="G110" s="133"/>
      <c r="H110" s="133"/>
      <c r="I110" s="133"/>
      <c r="J110" s="133"/>
      <c r="K110" s="134"/>
    </row>
    <row r="111" spans="1:14" ht="15" customHeight="1">
      <c r="A111" s="142"/>
      <c r="B111" s="133"/>
      <c r="C111" s="133"/>
      <c r="D111" s="133"/>
      <c r="E111" s="133"/>
      <c r="F111" s="133"/>
      <c r="G111" s="133"/>
      <c r="H111" s="133"/>
      <c r="I111" s="133"/>
      <c r="J111" s="133"/>
      <c r="K111" s="134"/>
    </row>
    <row r="112" spans="1:14" ht="15" customHeight="1">
      <c r="A112" s="142"/>
      <c r="B112" s="133"/>
      <c r="C112" s="133"/>
      <c r="D112" s="133"/>
      <c r="E112" s="133"/>
      <c r="F112" s="133"/>
      <c r="G112" s="133"/>
      <c r="H112" s="133"/>
      <c r="I112" s="133"/>
      <c r="J112" s="133"/>
      <c r="K112" s="134"/>
    </row>
    <row r="113" spans="1:11" ht="15" customHeight="1">
      <c r="A113" s="142"/>
      <c r="B113" s="133"/>
      <c r="C113" s="133"/>
      <c r="D113" s="133"/>
      <c r="E113" s="133"/>
      <c r="F113" s="133"/>
      <c r="G113" s="133"/>
      <c r="H113" s="133"/>
      <c r="I113" s="133"/>
      <c r="J113" s="133"/>
      <c r="K113" s="134"/>
    </row>
    <row r="114" spans="1:11" ht="15" customHeight="1">
      <c r="A114" s="142"/>
      <c r="B114" s="133"/>
      <c r="C114" s="133"/>
      <c r="D114" s="133"/>
      <c r="E114" s="133"/>
      <c r="F114" s="133"/>
      <c r="G114" s="133"/>
      <c r="H114" s="133"/>
      <c r="I114" s="133"/>
      <c r="J114" s="133"/>
      <c r="K114" s="134"/>
    </row>
    <row r="115" spans="1:11" ht="15" customHeight="1">
      <c r="A115" s="142"/>
      <c r="B115" s="133"/>
      <c r="C115" s="133"/>
      <c r="D115" s="133"/>
      <c r="E115" s="133"/>
      <c r="F115" s="133"/>
      <c r="G115" s="133"/>
      <c r="H115" s="133"/>
      <c r="I115" s="133"/>
      <c r="J115" s="133"/>
      <c r="K115" s="134"/>
    </row>
    <row r="116" spans="1:11" ht="15" customHeight="1">
      <c r="A116" s="142"/>
      <c r="B116" s="133"/>
      <c r="C116" s="133"/>
      <c r="D116" s="133"/>
      <c r="E116" s="133"/>
      <c r="F116" s="133"/>
      <c r="G116" s="133"/>
      <c r="H116" s="133"/>
      <c r="I116" s="133"/>
      <c r="J116" s="133"/>
      <c r="K116" s="134"/>
    </row>
    <row r="117" spans="1:11" ht="15" customHeight="1">
      <c r="A117" s="142"/>
      <c r="B117" s="133"/>
      <c r="C117" s="133"/>
      <c r="D117" s="133"/>
      <c r="E117" s="133"/>
      <c r="F117" s="133"/>
      <c r="G117" s="133"/>
      <c r="H117" s="133"/>
      <c r="I117" s="133"/>
      <c r="J117" s="133"/>
      <c r="K117" s="134"/>
    </row>
    <row r="118" spans="1:11" ht="15" customHeight="1">
      <c r="A118" s="142"/>
      <c r="B118" s="133"/>
      <c r="C118" s="133"/>
      <c r="D118" s="133"/>
      <c r="E118" s="133"/>
      <c r="F118" s="133"/>
      <c r="G118" s="133"/>
      <c r="H118" s="133"/>
      <c r="I118" s="133"/>
      <c r="J118" s="133"/>
      <c r="K118" s="134"/>
    </row>
    <row r="119" spans="1:11" ht="15" customHeight="1">
      <c r="A119" s="142"/>
      <c r="B119" s="133"/>
      <c r="C119" s="133"/>
      <c r="D119" s="133"/>
      <c r="E119" s="133"/>
      <c r="F119" s="133"/>
      <c r="G119" s="133"/>
      <c r="H119" s="133"/>
      <c r="I119" s="133"/>
      <c r="J119" s="133"/>
      <c r="K119" s="134"/>
    </row>
    <row r="120" spans="1:11" ht="15" customHeight="1">
      <c r="A120" s="142"/>
      <c r="B120" s="334" t="s">
        <v>185</v>
      </c>
      <c r="C120" s="133"/>
      <c r="D120" s="133"/>
      <c r="E120" s="133"/>
      <c r="F120" s="133"/>
      <c r="G120" s="133"/>
      <c r="H120" s="133"/>
      <c r="I120" s="133"/>
      <c r="J120" s="133"/>
      <c r="K120" s="134"/>
    </row>
    <row r="121" spans="1:11" ht="15" customHeight="1">
      <c r="A121" s="142"/>
      <c r="B121" s="133"/>
      <c r="C121" s="133"/>
      <c r="D121" s="133"/>
      <c r="E121" s="133"/>
      <c r="F121" s="133"/>
      <c r="G121" s="133"/>
      <c r="H121" s="133"/>
      <c r="I121" s="133"/>
      <c r="J121" s="133"/>
      <c r="K121" s="134"/>
    </row>
    <row r="122" spans="1:11" ht="15" customHeight="1">
      <c r="A122" s="142"/>
      <c r="B122" s="133"/>
      <c r="C122" s="133"/>
      <c r="D122" s="133"/>
      <c r="E122" s="133"/>
      <c r="F122" s="133"/>
      <c r="G122" s="133"/>
      <c r="H122" s="133"/>
      <c r="I122" s="133"/>
      <c r="J122" s="133"/>
      <c r="K122" s="134"/>
    </row>
    <row r="123" spans="1:11" ht="15" customHeight="1">
      <c r="A123" s="142"/>
      <c r="B123" s="133"/>
      <c r="C123" s="133"/>
      <c r="D123" s="133"/>
      <c r="E123" s="133"/>
      <c r="F123" s="133"/>
      <c r="G123" s="133"/>
      <c r="H123" s="133"/>
      <c r="I123" s="133"/>
      <c r="J123" s="133"/>
      <c r="K123" s="134"/>
    </row>
    <row r="124" spans="1:11" ht="15" customHeight="1">
      <c r="A124" s="142"/>
      <c r="B124" s="133"/>
      <c r="C124" s="133"/>
      <c r="D124" s="133"/>
      <c r="E124" s="133"/>
      <c r="F124" s="133"/>
      <c r="G124" s="133"/>
      <c r="H124" s="133"/>
      <c r="I124" s="133"/>
      <c r="J124" s="133"/>
      <c r="K124" s="134"/>
    </row>
    <row r="125" spans="1:11" ht="15" customHeight="1">
      <c r="A125" s="142"/>
      <c r="B125" s="133"/>
      <c r="C125" s="133"/>
      <c r="D125" s="133"/>
      <c r="E125" s="133"/>
      <c r="F125" s="133"/>
      <c r="G125" s="133"/>
      <c r="H125" s="133"/>
      <c r="I125" s="133"/>
      <c r="J125" s="133"/>
      <c r="K125" s="134"/>
    </row>
    <row r="126" spans="1:11" ht="15" customHeight="1">
      <c r="A126" s="142"/>
      <c r="B126" s="133"/>
      <c r="C126" s="133"/>
      <c r="D126" s="133"/>
      <c r="E126" s="133"/>
      <c r="F126" s="133"/>
      <c r="G126" s="133"/>
      <c r="H126" s="133"/>
      <c r="I126" s="133"/>
      <c r="J126" s="133"/>
      <c r="K126" s="134"/>
    </row>
    <row r="127" spans="1:11" ht="15" customHeight="1">
      <c r="A127" s="142"/>
      <c r="B127" s="133"/>
      <c r="C127" s="133"/>
      <c r="D127" s="133"/>
      <c r="E127" s="133"/>
      <c r="F127" s="133"/>
      <c r="G127" s="133"/>
      <c r="H127" s="133"/>
      <c r="I127" s="133"/>
      <c r="J127" s="133"/>
      <c r="K127" s="134"/>
    </row>
    <row r="128" spans="1:11" ht="15" customHeight="1">
      <c r="A128" s="142"/>
      <c r="B128" s="133"/>
      <c r="C128" s="133"/>
      <c r="D128" s="133"/>
      <c r="E128" s="133"/>
      <c r="F128" s="133"/>
      <c r="G128" s="133"/>
      <c r="H128" s="133"/>
      <c r="I128" s="133"/>
      <c r="J128" s="133"/>
      <c r="K128" s="134"/>
    </row>
    <row r="129" spans="1:11" ht="15" customHeight="1">
      <c r="A129" s="142"/>
      <c r="B129" s="143"/>
      <c r="C129" s="133"/>
      <c r="D129" s="133"/>
      <c r="E129" s="133"/>
      <c r="F129" s="133"/>
      <c r="G129" s="133"/>
      <c r="H129" s="133"/>
      <c r="I129" s="133"/>
      <c r="J129" s="133"/>
      <c r="K129" s="134"/>
    </row>
    <row r="130" spans="1:11" ht="15" customHeight="1">
      <c r="A130" s="142"/>
      <c r="B130" s="133"/>
      <c r="C130" s="133"/>
      <c r="D130" s="133"/>
      <c r="E130" s="133"/>
      <c r="F130" s="133"/>
      <c r="G130" s="133"/>
      <c r="H130" s="133"/>
      <c r="I130" s="133"/>
      <c r="J130" s="133"/>
      <c r="K130" s="134"/>
    </row>
    <row r="131" spans="1:11" ht="15" customHeight="1">
      <c r="A131" s="142"/>
      <c r="B131" s="133"/>
      <c r="C131" s="133"/>
      <c r="D131" s="133"/>
      <c r="E131" s="133"/>
      <c r="F131" s="133"/>
      <c r="G131" s="133"/>
      <c r="H131" s="133"/>
      <c r="I131" s="133"/>
      <c r="J131" s="133"/>
      <c r="K131" s="134"/>
    </row>
    <row r="132" spans="1:11" ht="18" customHeight="1">
      <c r="A132" s="142"/>
      <c r="B132" s="334" t="s">
        <v>96</v>
      </c>
      <c r="C132" s="133"/>
      <c r="D132" s="133"/>
      <c r="E132" s="133"/>
      <c r="F132" s="133"/>
      <c r="G132" s="133"/>
      <c r="H132" s="133"/>
      <c r="I132" s="133"/>
      <c r="J132" s="133"/>
      <c r="K132" s="134"/>
    </row>
    <row r="133" spans="1:11" ht="15" customHeight="1">
      <c r="A133" s="142"/>
      <c r="B133" s="133"/>
      <c r="C133" s="133"/>
      <c r="D133" s="133"/>
      <c r="E133" s="133"/>
      <c r="F133" s="133"/>
      <c r="G133" s="133"/>
      <c r="H133" s="133"/>
      <c r="I133" s="133"/>
      <c r="J133" s="133"/>
      <c r="K133" s="134"/>
    </row>
    <row r="134" spans="1:11" ht="15" customHeight="1">
      <c r="A134" s="142"/>
      <c r="B134" s="133"/>
      <c r="C134" s="133"/>
      <c r="D134" s="133"/>
      <c r="E134" s="133"/>
      <c r="F134" s="133"/>
      <c r="G134" s="133"/>
      <c r="H134" s="133"/>
      <c r="I134" s="133"/>
      <c r="J134" s="133"/>
      <c r="K134" s="134"/>
    </row>
    <row r="135" spans="1:11" ht="15" customHeight="1">
      <c r="A135" s="142"/>
      <c r="B135" s="133"/>
      <c r="C135" s="133"/>
      <c r="D135" s="133"/>
      <c r="E135" s="133"/>
      <c r="F135" s="133"/>
      <c r="G135" s="133"/>
      <c r="H135" s="133"/>
      <c r="I135" s="133"/>
      <c r="J135" s="133"/>
      <c r="K135" s="134"/>
    </row>
    <row r="136" spans="1:11" ht="15" customHeight="1">
      <c r="A136" s="142"/>
      <c r="B136" s="133"/>
      <c r="C136" s="133"/>
      <c r="D136" s="133"/>
      <c r="E136" s="133"/>
      <c r="F136" s="133"/>
      <c r="G136" s="133"/>
      <c r="H136" s="133"/>
      <c r="I136" s="133"/>
      <c r="J136" s="133"/>
      <c r="K136" s="134"/>
    </row>
    <row r="137" spans="1:11" ht="15" customHeight="1">
      <c r="A137" s="142"/>
      <c r="B137" s="133"/>
      <c r="C137" s="133"/>
      <c r="D137" s="133"/>
      <c r="E137" s="133"/>
      <c r="F137" s="133"/>
      <c r="G137" s="133"/>
      <c r="H137" s="133"/>
      <c r="I137" s="133"/>
      <c r="J137" s="133"/>
      <c r="K137" s="134"/>
    </row>
    <row r="138" spans="1:11" ht="15" customHeight="1">
      <c r="A138" s="142"/>
      <c r="B138" s="133"/>
      <c r="C138" s="133"/>
      <c r="D138" s="133"/>
      <c r="E138" s="133"/>
      <c r="F138" s="133"/>
      <c r="G138" s="133"/>
      <c r="H138" s="133"/>
      <c r="I138" s="133"/>
      <c r="J138" s="133"/>
      <c r="K138" s="134"/>
    </row>
    <row r="139" spans="1:11" ht="15" customHeight="1">
      <c r="A139" s="142"/>
      <c r="B139" s="133"/>
      <c r="C139" s="133"/>
      <c r="D139" s="133"/>
      <c r="E139" s="133"/>
      <c r="F139" s="133"/>
      <c r="G139" s="133"/>
      <c r="H139" s="133"/>
      <c r="I139" s="133"/>
      <c r="J139" s="133"/>
      <c r="K139" s="134"/>
    </row>
    <row r="140" spans="1:11" ht="15" customHeight="1">
      <c r="A140" s="142"/>
      <c r="B140" s="133"/>
      <c r="C140" s="133"/>
      <c r="D140" s="133"/>
      <c r="E140" s="133"/>
      <c r="F140" s="133"/>
      <c r="G140" s="133"/>
      <c r="H140" s="133"/>
      <c r="I140" s="133"/>
      <c r="J140" s="133"/>
      <c r="K140" s="134"/>
    </row>
    <row r="141" spans="1:11" ht="15" customHeight="1">
      <c r="A141" s="142"/>
      <c r="B141" s="133"/>
      <c r="C141" s="133"/>
      <c r="D141" s="133"/>
      <c r="E141" s="133"/>
      <c r="F141" s="133"/>
      <c r="G141" s="133"/>
      <c r="H141" s="133"/>
      <c r="I141" s="133"/>
      <c r="J141" s="133"/>
      <c r="K141" s="134"/>
    </row>
    <row r="142" spans="1:11" ht="15" customHeight="1">
      <c r="A142" s="142"/>
      <c r="B142" s="133"/>
      <c r="C142" s="133"/>
      <c r="D142" s="133"/>
      <c r="E142" s="133"/>
      <c r="F142" s="133"/>
      <c r="G142" s="133"/>
      <c r="H142" s="133"/>
      <c r="I142" s="133"/>
      <c r="J142" s="133"/>
      <c r="K142" s="134"/>
    </row>
    <row r="143" spans="1:11" ht="15" customHeight="1">
      <c r="A143" s="142"/>
      <c r="B143" s="133"/>
      <c r="C143" s="133"/>
      <c r="D143" s="133"/>
      <c r="E143" s="133"/>
      <c r="F143" s="133"/>
      <c r="G143" s="133"/>
      <c r="H143" s="133"/>
      <c r="I143" s="133"/>
      <c r="J143" s="133"/>
      <c r="K143" s="134"/>
    </row>
    <row r="144" spans="1:11" s="2" customFormat="1" ht="15" customHeight="1" thickBot="1">
      <c r="A144" s="172"/>
      <c r="B144" s="153"/>
      <c r="C144" s="153"/>
      <c r="D144" s="153"/>
      <c r="E144" s="153"/>
      <c r="F144" s="153"/>
      <c r="G144" s="153"/>
      <c r="H144" s="153"/>
      <c r="I144" s="153"/>
      <c r="J144" s="153"/>
      <c r="K144" s="154"/>
    </row>
    <row r="145" spans="1:10" ht="11.25" customHeight="1">
      <c r="A145" s="15"/>
      <c r="B145" s="15"/>
      <c r="C145" s="15"/>
      <c r="D145" s="15"/>
      <c r="E145" s="15"/>
      <c r="F145" s="15"/>
      <c r="G145" s="15"/>
      <c r="H145" s="15"/>
      <c r="I145" s="15"/>
      <c r="J145" s="15"/>
    </row>
  </sheetData>
  <sheetProtection password="CC9A" sheet="1" objects="1" scenarios="1" formatCells="0" formatRows="0" insertRows="0" deleteRows="0"/>
  <mergeCells count="54">
    <mergeCell ref="B5:E5"/>
    <mergeCell ref="B50:G50"/>
    <mergeCell ref="B97:G97"/>
    <mergeCell ref="C105:D105"/>
    <mergeCell ref="C68:J72"/>
    <mergeCell ref="C63:J65"/>
    <mergeCell ref="A95:K95"/>
    <mergeCell ref="B96:I96"/>
    <mergeCell ref="J96:K96"/>
    <mergeCell ref="I97:K97"/>
    <mergeCell ref="J75:K75"/>
    <mergeCell ref="J77:K77"/>
    <mergeCell ref="J79:K79"/>
    <mergeCell ref="J87:K87"/>
    <mergeCell ref="J100:K100"/>
    <mergeCell ref="J102:K102"/>
    <mergeCell ref="C45:F45"/>
    <mergeCell ref="J45:K45"/>
    <mergeCell ref="C82:D82"/>
    <mergeCell ref="A2:K2"/>
    <mergeCell ref="B3:I3"/>
    <mergeCell ref="J3:K3"/>
    <mergeCell ref="I4:K4"/>
    <mergeCell ref="B4:G4"/>
    <mergeCell ref="C32:F32"/>
    <mergeCell ref="J33:K33"/>
    <mergeCell ref="B38:G38"/>
    <mergeCell ref="C33:F33"/>
    <mergeCell ref="C8:J12"/>
    <mergeCell ref="C14:J18"/>
    <mergeCell ref="I20:J20"/>
    <mergeCell ref="C20:H20"/>
    <mergeCell ref="C22:J25"/>
    <mergeCell ref="C41:J44"/>
    <mergeCell ref="J27:K27"/>
    <mergeCell ref="J28:K28"/>
    <mergeCell ref="C27:E27"/>
    <mergeCell ref="C28:E28"/>
    <mergeCell ref="C29:F29"/>
    <mergeCell ref="J30:K30"/>
    <mergeCell ref="J31:K31"/>
    <mergeCell ref="J32:K32"/>
    <mergeCell ref="C30:F30"/>
    <mergeCell ref="C31:F31"/>
    <mergeCell ref="C39:F39"/>
    <mergeCell ref="J39:K39"/>
    <mergeCell ref="A48:K48"/>
    <mergeCell ref="B49:I49"/>
    <mergeCell ref="J49:K49"/>
    <mergeCell ref="C90:D90"/>
    <mergeCell ref="I50:K50"/>
    <mergeCell ref="B57:F58"/>
    <mergeCell ref="J85:K85"/>
    <mergeCell ref="J53:K53"/>
  </mergeCells>
  <phoneticPr fontId="3"/>
  <conditionalFormatting sqref="H89">
    <cfRule type="expression" dxfId="23" priority="12" stopIfTrue="1">
      <formula>OR($H$89&gt;$E$90,$H$89&lt;$F$90)</formula>
    </cfRule>
  </conditionalFormatting>
  <conditionalFormatting sqref="G105:G106 H104">
    <cfRule type="expression" dxfId="22" priority="13" stopIfTrue="1">
      <formula>OR(+$H$104&gt;$E$105,$H$104&lt;$F$105)</formula>
    </cfRule>
  </conditionalFormatting>
  <conditionalFormatting sqref="H105:H106 I82:I83 I90:J90">
    <cfRule type="expression" dxfId="21" priority="14" stopIfTrue="1">
      <formula>OR(+$I$102&gt;$E$103,$I$102&lt;$F$103)</formula>
    </cfRule>
  </conditionalFormatting>
  <conditionalFormatting sqref="H81">
    <cfRule type="expression" dxfId="20" priority="15" stopIfTrue="1">
      <formula>OR($H$81&gt;$E$82,$H$81&lt;$F$82)</formula>
    </cfRule>
  </conditionalFormatting>
  <conditionalFormatting sqref="H27:H32">
    <cfRule type="expression" dxfId="19" priority="41">
      <formula>$I$20="①"</formula>
    </cfRule>
  </conditionalFormatting>
  <conditionalFormatting sqref="H33 H39">
    <cfRule type="expression" dxfId="18" priority="42">
      <formula>$I$20="①"</formula>
    </cfRule>
  </conditionalFormatting>
  <conditionalFormatting sqref="H35">
    <cfRule type="expression" dxfId="17" priority="44">
      <formula>$I$20="①"</formula>
    </cfRule>
  </conditionalFormatting>
  <conditionalFormatting sqref="H45">
    <cfRule type="expression" dxfId="16" priority="46">
      <formula>$I$20="②"</formula>
    </cfRule>
  </conditionalFormatting>
  <conditionalFormatting sqref="B22">
    <cfRule type="expression" dxfId="15" priority="2">
      <formula>$I$20="①"</formula>
    </cfRule>
  </conditionalFormatting>
  <conditionalFormatting sqref="B41">
    <cfRule type="expression" dxfId="14" priority="1">
      <formula>$I$20="②"</formula>
    </cfRule>
  </conditionalFormatting>
  <conditionalFormatting sqref="H57">
    <cfRule type="expression" dxfId="13" priority="47" stopIfTrue="1">
      <formula>OR(+$H$57&gt;$F$59,$H$57&lt;$G$59)</formula>
    </cfRule>
  </conditionalFormatting>
  <dataValidations count="2">
    <dataValidation type="list" allowBlank="1" showInputMessage="1" showErrorMessage="1" sqref="H35">
      <formula1>"（選択）,湿　式,乾　式"</formula1>
    </dataValidation>
    <dataValidation type="list" allowBlank="1" showInputMessage="1" showErrorMessage="1" sqref="I20:J21">
      <formula1>"（選択して下さい）,①,②"</formula1>
    </dataValidation>
  </dataValidations>
  <pageMargins left="0.78740157480314965" right="0.51181102362204722" top="0.59055118110236227" bottom="0.59055118110236227" header="0.19685039370078741" footer="0.19685039370078741"/>
  <pageSetup paperSize="9" orientation="portrait" horizontalDpi="300" verticalDpi="300" r:id="rId1"/>
  <headerFooter alignWithMargins="0"/>
  <rowBreaks count="2" manualBreakCount="2">
    <brk id="46" max="16383" man="1"/>
    <brk id="14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showGridLines="0" view="pageBreakPreview" zoomScaleNormal="100" zoomScaleSheetLayoutView="100" workbookViewId="0">
      <selection activeCell="D5" sqref="D5:E5"/>
    </sheetView>
  </sheetViews>
  <sheetFormatPr defaultColWidth="9" defaultRowHeight="13.5"/>
  <cols>
    <col min="1" max="1" width="4.625" style="1" customWidth="1"/>
    <col min="2" max="2" width="4.75" style="1" customWidth="1"/>
    <col min="3" max="3" width="6" style="1" customWidth="1"/>
    <col min="4" max="4" width="14.875" style="1" customWidth="1"/>
    <col min="5" max="5" width="10.875" style="1" customWidth="1"/>
    <col min="6" max="6" width="7.625" style="1" customWidth="1"/>
    <col min="7" max="7" width="5.125" style="1" customWidth="1"/>
    <col min="8" max="9" width="8.625" style="1" customWidth="1"/>
    <col min="10" max="10" width="7.125" style="1" customWidth="1"/>
    <col min="11" max="11" width="4.125" style="1" customWidth="1"/>
    <col min="12" max="12" width="8.125" style="1" customWidth="1"/>
    <col min="13" max="13" width="9.5" style="1" customWidth="1"/>
    <col min="14" max="16384" width="9" style="1"/>
  </cols>
  <sheetData>
    <row r="1" spans="1:12" ht="14.25" thickBot="1">
      <c r="A1" s="304"/>
      <c r="B1" s="304"/>
      <c r="C1" s="304"/>
      <c r="D1" s="304"/>
      <c r="E1" s="304"/>
      <c r="F1" s="304"/>
      <c r="G1" s="304"/>
      <c r="H1" s="304"/>
      <c r="I1" s="304"/>
      <c r="J1" s="304"/>
      <c r="K1" s="304"/>
      <c r="L1" s="304"/>
    </row>
    <row r="2" spans="1:12" s="2" customFormat="1" ht="18.75" customHeight="1" thickBot="1">
      <c r="A2" s="763" t="s">
        <v>196</v>
      </c>
      <c r="B2" s="764"/>
      <c r="C2" s="764"/>
      <c r="D2" s="764"/>
      <c r="E2" s="764"/>
      <c r="F2" s="764"/>
      <c r="G2" s="764"/>
      <c r="H2" s="764"/>
      <c r="I2" s="764"/>
      <c r="J2" s="764"/>
      <c r="K2" s="764"/>
      <c r="L2" s="765"/>
    </row>
    <row r="3" spans="1:12" s="2" customFormat="1" ht="28.5" customHeight="1" thickTop="1">
      <c r="A3" s="812" t="s">
        <v>206</v>
      </c>
      <c r="B3" s="813"/>
      <c r="C3" s="766" t="str">
        <f>+表紙!$B$3&amp;"　　（３．立上り性能）"</f>
        <v>ラックコンベア洗浄機、フライトコンベア洗浄機、フラットコンベア洗浄機(選択してください)　　（３．立上り性能）</v>
      </c>
      <c r="D3" s="767"/>
      <c r="E3" s="767"/>
      <c r="F3" s="767"/>
      <c r="G3" s="767"/>
      <c r="H3" s="767"/>
      <c r="I3" s="767"/>
      <c r="J3" s="767"/>
      <c r="K3" s="803" t="str">
        <f>"ガス種："&amp;表紙!$K$11</f>
        <v>ガス種：選択して下さい</v>
      </c>
      <c r="L3" s="804"/>
    </row>
    <row r="4" spans="1:12" s="2" customFormat="1" ht="18" customHeight="1" thickBot="1">
      <c r="A4" s="814" t="s">
        <v>282</v>
      </c>
      <c r="B4" s="815"/>
      <c r="C4" s="770" t="str">
        <f>IF(表紙!$B$6=0,"",表紙!$B$6)</f>
        <v/>
      </c>
      <c r="D4" s="771"/>
      <c r="E4" s="771"/>
      <c r="F4" s="771"/>
      <c r="G4" s="784"/>
      <c r="H4" s="5" t="s">
        <v>1</v>
      </c>
      <c r="I4" s="770" t="str">
        <f>IF(表紙!$H$5=0,"",表紙!$H$5)</f>
        <v/>
      </c>
      <c r="J4" s="771"/>
      <c r="K4" s="771"/>
      <c r="L4" s="772"/>
    </row>
    <row r="5" spans="1:12" s="2" customFormat="1" ht="15.75" customHeight="1">
      <c r="A5" s="819" t="s">
        <v>32</v>
      </c>
      <c r="B5" s="820"/>
      <c r="C5" s="810" t="s">
        <v>33</v>
      </c>
      <c r="D5" s="809"/>
      <c r="E5" s="809"/>
      <c r="F5" s="823" t="s">
        <v>38</v>
      </c>
      <c r="G5" s="824"/>
      <c r="H5" s="542"/>
      <c r="I5" s="810" t="s">
        <v>28</v>
      </c>
      <c r="J5" s="542"/>
      <c r="K5" s="816" t="s">
        <v>54</v>
      </c>
      <c r="L5" s="544"/>
    </row>
    <row r="6" spans="1:12" s="2" customFormat="1" ht="15.75" customHeight="1" thickBot="1">
      <c r="A6" s="821" t="s">
        <v>34</v>
      </c>
      <c r="B6" s="822"/>
      <c r="C6" s="811"/>
      <c r="D6" s="818"/>
      <c r="E6" s="818"/>
      <c r="F6" s="825"/>
      <c r="G6" s="826"/>
      <c r="H6" s="543"/>
      <c r="I6" s="811"/>
      <c r="J6" s="543"/>
      <c r="K6" s="817"/>
      <c r="L6" s="545"/>
    </row>
    <row r="7" spans="1:12" s="2" customFormat="1" ht="14.25" customHeight="1">
      <c r="A7" s="174"/>
      <c r="B7" s="175"/>
      <c r="C7" s="175"/>
      <c r="D7" s="176"/>
      <c r="E7" s="176"/>
      <c r="F7" s="177"/>
      <c r="G7" s="178"/>
      <c r="H7" s="179"/>
      <c r="I7" s="175"/>
      <c r="J7" s="179"/>
      <c r="K7" s="180"/>
      <c r="L7" s="181"/>
    </row>
    <row r="8" spans="1:12" s="2" customFormat="1" ht="14.25" customHeight="1">
      <c r="A8" s="182"/>
      <c r="B8" s="183" t="s">
        <v>139</v>
      </c>
      <c r="C8" s="144"/>
      <c r="D8" s="184"/>
      <c r="E8" s="184"/>
      <c r="F8" s="185"/>
      <c r="G8" s="146"/>
      <c r="H8" s="186"/>
      <c r="I8" s="144"/>
      <c r="J8" s="186"/>
      <c r="K8" s="459"/>
      <c r="L8" s="187"/>
    </row>
    <row r="9" spans="1:12" s="2" customFormat="1" ht="15" customHeight="1">
      <c r="A9" s="132"/>
      <c r="B9" s="795" t="s">
        <v>427</v>
      </c>
      <c r="C9" s="795"/>
      <c r="D9" s="795"/>
      <c r="E9" s="795"/>
      <c r="F9" s="795"/>
      <c r="G9" s="795"/>
      <c r="H9" s="795"/>
      <c r="I9" s="795"/>
      <c r="J9" s="795"/>
      <c r="K9" s="795"/>
      <c r="L9" s="188"/>
    </row>
    <row r="10" spans="1:12" s="2" customFormat="1" ht="15" customHeight="1">
      <c r="A10" s="132"/>
      <c r="B10" s="795"/>
      <c r="C10" s="795"/>
      <c r="D10" s="795"/>
      <c r="E10" s="795"/>
      <c r="F10" s="795"/>
      <c r="G10" s="795"/>
      <c r="H10" s="795"/>
      <c r="I10" s="795"/>
      <c r="J10" s="795"/>
      <c r="K10" s="795"/>
      <c r="L10" s="188"/>
    </row>
    <row r="11" spans="1:12" s="2" customFormat="1" ht="15" customHeight="1">
      <c r="A11" s="132"/>
      <c r="B11" s="795"/>
      <c r="C11" s="795"/>
      <c r="D11" s="795"/>
      <c r="E11" s="795"/>
      <c r="F11" s="795"/>
      <c r="G11" s="795"/>
      <c r="H11" s="795"/>
      <c r="I11" s="795"/>
      <c r="J11" s="795"/>
      <c r="K11" s="795"/>
      <c r="L11" s="188"/>
    </row>
    <row r="12" spans="1:12" s="2" customFormat="1" ht="18" customHeight="1">
      <c r="A12" s="132"/>
      <c r="B12" s="795"/>
      <c r="C12" s="795"/>
      <c r="D12" s="795"/>
      <c r="E12" s="795"/>
      <c r="F12" s="795"/>
      <c r="G12" s="795"/>
      <c r="H12" s="795"/>
      <c r="I12" s="795"/>
      <c r="J12" s="795"/>
      <c r="K12" s="795"/>
      <c r="L12" s="188"/>
    </row>
    <row r="13" spans="1:12" s="2" customFormat="1" ht="15" customHeight="1">
      <c r="A13" s="132"/>
      <c r="B13" s="795"/>
      <c r="C13" s="795"/>
      <c r="D13" s="795"/>
      <c r="E13" s="795"/>
      <c r="F13" s="795"/>
      <c r="G13" s="795"/>
      <c r="H13" s="795"/>
      <c r="I13" s="795"/>
      <c r="J13" s="795"/>
      <c r="K13" s="795"/>
      <c r="L13" s="188"/>
    </row>
    <row r="14" spans="1:12" s="2" customFormat="1" ht="15" customHeight="1">
      <c r="A14" s="132"/>
      <c r="B14" s="795"/>
      <c r="C14" s="795"/>
      <c r="D14" s="795"/>
      <c r="E14" s="795"/>
      <c r="F14" s="795"/>
      <c r="G14" s="795"/>
      <c r="H14" s="795"/>
      <c r="I14" s="795"/>
      <c r="J14" s="795"/>
      <c r="K14" s="795"/>
      <c r="L14" s="188"/>
    </row>
    <row r="15" spans="1:12" s="2" customFormat="1" ht="15" customHeight="1">
      <c r="A15" s="132"/>
      <c r="B15" s="795"/>
      <c r="C15" s="795"/>
      <c r="D15" s="795"/>
      <c r="E15" s="795"/>
      <c r="F15" s="795"/>
      <c r="G15" s="795"/>
      <c r="H15" s="795"/>
      <c r="I15" s="795"/>
      <c r="J15" s="795"/>
      <c r="K15" s="795"/>
      <c r="L15" s="188"/>
    </row>
    <row r="16" spans="1:12" s="2" customFormat="1" ht="15" customHeight="1">
      <c r="A16" s="132"/>
      <c r="B16" s="795"/>
      <c r="C16" s="795"/>
      <c r="D16" s="795"/>
      <c r="E16" s="795"/>
      <c r="F16" s="795"/>
      <c r="G16" s="795"/>
      <c r="H16" s="795"/>
      <c r="I16" s="795"/>
      <c r="J16" s="795"/>
      <c r="K16" s="795"/>
      <c r="L16" s="188"/>
    </row>
    <row r="17" spans="1:16" s="2" customFormat="1" ht="17.45" customHeight="1">
      <c r="A17" s="132"/>
      <c r="B17" s="795"/>
      <c r="C17" s="795"/>
      <c r="D17" s="795"/>
      <c r="E17" s="795"/>
      <c r="F17" s="795"/>
      <c r="G17" s="795"/>
      <c r="H17" s="795"/>
      <c r="I17" s="795"/>
      <c r="J17" s="795"/>
      <c r="K17" s="795"/>
      <c r="L17" s="188"/>
    </row>
    <row r="18" spans="1:16" s="2" customFormat="1" ht="13.5" customHeight="1">
      <c r="A18" s="132"/>
      <c r="B18" s="795"/>
      <c r="C18" s="795"/>
      <c r="D18" s="795"/>
      <c r="E18" s="795"/>
      <c r="F18" s="795"/>
      <c r="G18" s="795"/>
      <c r="H18" s="795"/>
      <c r="I18" s="795"/>
      <c r="J18" s="795"/>
      <c r="K18" s="795"/>
      <c r="L18" s="188"/>
    </row>
    <row r="19" spans="1:16" s="2" customFormat="1" ht="15" customHeight="1">
      <c r="A19" s="132"/>
      <c r="B19" s="189"/>
      <c r="C19" s="189"/>
      <c r="D19" s="189"/>
      <c r="E19" s="189"/>
      <c r="F19" s="189"/>
      <c r="G19" s="189"/>
      <c r="H19" s="190" t="s">
        <v>32</v>
      </c>
      <c r="I19" s="190" t="s">
        <v>34</v>
      </c>
      <c r="J19" s="133"/>
      <c r="K19" s="133"/>
      <c r="L19" s="134"/>
    </row>
    <row r="20" spans="1:16" s="2" customFormat="1" ht="17.25" customHeight="1">
      <c r="A20" s="132"/>
      <c r="B20" s="451" t="s">
        <v>459</v>
      </c>
      <c r="C20" s="191"/>
      <c r="D20" s="191"/>
      <c r="E20" s="191"/>
      <c r="F20" s="191"/>
      <c r="G20" s="192" t="s">
        <v>218</v>
      </c>
      <c r="H20" s="546"/>
      <c r="I20" s="546"/>
      <c r="J20" s="193" t="s">
        <v>21</v>
      </c>
      <c r="K20" s="805" t="s">
        <v>20</v>
      </c>
      <c r="L20" s="806"/>
    </row>
    <row r="21" spans="1:16" s="2" customFormat="1" ht="17.25" customHeight="1">
      <c r="A21" s="132"/>
      <c r="B21" s="133" t="s">
        <v>452</v>
      </c>
      <c r="C21" s="193"/>
      <c r="D21" s="193"/>
      <c r="E21" s="193"/>
      <c r="F21" s="194"/>
      <c r="G21" s="192" t="s">
        <v>219</v>
      </c>
      <c r="H21" s="546"/>
      <c r="I21" s="546"/>
      <c r="J21" s="193" t="s">
        <v>21</v>
      </c>
      <c r="K21" s="805" t="s">
        <v>20</v>
      </c>
      <c r="L21" s="806"/>
      <c r="N21" s="10"/>
    </row>
    <row r="22" spans="1:16" s="2" customFormat="1" ht="17.25" customHeight="1">
      <c r="A22" s="132"/>
      <c r="B22" s="133" t="s">
        <v>458</v>
      </c>
      <c r="C22" s="193"/>
      <c r="D22" s="193"/>
      <c r="E22" s="193"/>
      <c r="F22" s="194"/>
      <c r="G22" s="192" t="s">
        <v>220</v>
      </c>
      <c r="H22" s="546"/>
      <c r="I22" s="546"/>
      <c r="J22" s="193" t="s">
        <v>21</v>
      </c>
      <c r="K22" s="805" t="s">
        <v>20</v>
      </c>
      <c r="L22" s="806"/>
    </row>
    <row r="23" spans="1:16" s="2" customFormat="1" ht="17.25" customHeight="1">
      <c r="A23" s="132"/>
      <c r="B23" s="451" t="s">
        <v>457</v>
      </c>
      <c r="C23" s="451"/>
      <c r="D23" s="451"/>
      <c r="E23" s="451"/>
      <c r="F23" s="146"/>
      <c r="G23" s="192" t="s">
        <v>221</v>
      </c>
      <c r="H23" s="546"/>
      <c r="I23" s="546"/>
      <c r="J23" s="193" t="s">
        <v>21</v>
      </c>
      <c r="K23" s="805" t="s">
        <v>20</v>
      </c>
      <c r="L23" s="806"/>
    </row>
    <row r="24" spans="1:16" s="2" customFormat="1" ht="17.25" customHeight="1">
      <c r="A24" s="132"/>
      <c r="B24" s="800" t="s">
        <v>453</v>
      </c>
      <c r="C24" s="800"/>
      <c r="D24" s="800"/>
      <c r="E24" s="800"/>
      <c r="F24" s="194"/>
      <c r="G24" s="192" t="s">
        <v>277</v>
      </c>
      <c r="H24" s="547"/>
      <c r="I24" s="547"/>
      <c r="J24" s="193" t="s">
        <v>25</v>
      </c>
      <c r="K24" s="805" t="s">
        <v>16</v>
      </c>
      <c r="L24" s="806"/>
    </row>
    <row r="25" spans="1:16" s="2" customFormat="1" ht="17.25" customHeight="1">
      <c r="A25" s="132"/>
      <c r="B25" s="456" t="s">
        <v>451</v>
      </c>
      <c r="C25" s="133"/>
      <c r="D25" s="451"/>
      <c r="E25" s="451"/>
      <c r="F25" s="146"/>
      <c r="G25" s="192" t="s">
        <v>460</v>
      </c>
      <c r="H25" s="547"/>
      <c r="I25" s="547"/>
      <c r="J25" s="193" t="s">
        <v>25</v>
      </c>
      <c r="K25" s="805" t="s">
        <v>16</v>
      </c>
      <c r="L25" s="806"/>
    </row>
    <row r="26" spans="1:16" s="2" customFormat="1" ht="17.25" customHeight="1">
      <c r="A26" s="132"/>
      <c r="B26" s="334" t="s">
        <v>454</v>
      </c>
      <c r="C26" s="133"/>
      <c r="D26" s="451"/>
      <c r="E26" s="451"/>
      <c r="F26" s="146"/>
      <c r="G26" s="146"/>
      <c r="H26" s="192" t="s">
        <v>278</v>
      </c>
      <c r="I26" s="368" t="str">
        <f>IF(表紙!C15="洗浄タンク:Wf",表紙!F15,IF(表紙!C17="洗浄タンク:Wf",表紙!F17,""))</f>
        <v/>
      </c>
      <c r="J26" s="133" t="s">
        <v>68</v>
      </c>
      <c r="K26" s="457"/>
      <c r="L26" s="458"/>
    </row>
    <row r="27" spans="1:16" s="2" customFormat="1" ht="17.25" customHeight="1">
      <c r="A27" s="132"/>
      <c r="B27" s="334" t="s">
        <v>455</v>
      </c>
      <c r="C27" s="133"/>
      <c r="D27" s="451"/>
      <c r="E27" s="451"/>
      <c r="F27" s="146"/>
      <c r="G27" s="146"/>
      <c r="H27" s="192" t="s">
        <v>428</v>
      </c>
      <c r="I27" s="368" t="str">
        <f>IF(表紙!C17="循環すすぎタンク:Wm",表紙!F17,IF(表紙!H15="循環すすぎタンク:Wm",表紙!J15,""))</f>
        <v/>
      </c>
      <c r="J27" s="133" t="s">
        <v>68</v>
      </c>
      <c r="K27" s="457"/>
      <c r="L27" s="458"/>
    </row>
    <row r="28" spans="1:16" s="2" customFormat="1" ht="17.25" customHeight="1">
      <c r="A28" s="132"/>
      <c r="B28" s="334" t="s">
        <v>449</v>
      </c>
      <c r="C28" s="133"/>
      <c r="D28" s="451"/>
      <c r="E28" s="451"/>
      <c r="F28" s="451"/>
      <c r="G28" s="451"/>
      <c r="H28" s="192" t="s">
        <v>279</v>
      </c>
      <c r="I28" s="547"/>
      <c r="J28" s="193" t="s">
        <v>23</v>
      </c>
      <c r="K28" s="805" t="s">
        <v>16</v>
      </c>
      <c r="L28" s="806"/>
    </row>
    <row r="29" spans="1:16" s="2" customFormat="1" ht="17.25" customHeight="1">
      <c r="A29" s="132"/>
      <c r="B29" s="334" t="s">
        <v>450</v>
      </c>
      <c r="C29" s="133"/>
      <c r="D29" s="451"/>
      <c r="E29" s="451"/>
      <c r="F29" s="451"/>
      <c r="G29" s="451"/>
      <c r="H29" s="192" t="s">
        <v>280</v>
      </c>
      <c r="I29" s="547"/>
      <c r="J29" s="193" t="s">
        <v>23</v>
      </c>
      <c r="K29" s="805" t="s">
        <v>16</v>
      </c>
      <c r="L29" s="806"/>
    </row>
    <row r="30" spans="1:16" s="2" customFormat="1" ht="17.25" customHeight="1">
      <c r="A30" s="132"/>
      <c r="B30" s="451" t="s">
        <v>456</v>
      </c>
      <c r="C30" s="133"/>
      <c r="D30" s="451"/>
      <c r="E30" s="451"/>
      <c r="F30" s="451"/>
      <c r="G30" s="451"/>
      <c r="H30" s="192" t="s">
        <v>222</v>
      </c>
      <c r="I30" s="369">
        <v>4.1900000000000004</v>
      </c>
      <c r="J30" s="193" t="s">
        <v>51</v>
      </c>
      <c r="K30" s="805"/>
      <c r="L30" s="806"/>
    </row>
    <row r="31" spans="1:16" s="2" customFormat="1" ht="6" customHeight="1">
      <c r="A31" s="132"/>
      <c r="B31" s="451"/>
      <c r="C31" s="133"/>
      <c r="D31" s="451"/>
      <c r="E31" s="451"/>
      <c r="F31" s="451"/>
      <c r="G31" s="451"/>
      <c r="H31" s="204"/>
      <c r="I31" s="158"/>
      <c r="J31" s="193"/>
      <c r="K31" s="457"/>
      <c r="L31" s="458"/>
    </row>
    <row r="32" spans="1:16" s="2" customFormat="1" ht="17.45" customHeight="1">
      <c r="A32" s="195"/>
      <c r="B32" s="136" t="s">
        <v>88</v>
      </c>
      <c r="C32" s="133"/>
      <c r="D32" s="451"/>
      <c r="E32" s="451"/>
      <c r="F32" s="143"/>
      <c r="G32" s="451"/>
      <c r="H32" s="204"/>
      <c r="I32" s="158"/>
      <c r="J32" s="193"/>
      <c r="K32" s="457"/>
      <c r="L32" s="458"/>
      <c r="N32" s="72" t="s">
        <v>140</v>
      </c>
      <c r="O32" s="72">
        <f>表紙!N13</f>
        <v>0</v>
      </c>
      <c r="P32" s="2" t="str">
        <f>IF($O$32=60,"給湯接続",IF($O$32=15,"給水接続","空水接続"))</f>
        <v>空水接続</v>
      </c>
    </row>
    <row r="33" spans="1:19" s="2" customFormat="1" ht="17.45" customHeight="1">
      <c r="A33" s="195"/>
      <c r="B33" s="136"/>
      <c r="C33" s="133"/>
      <c r="D33" s="451"/>
      <c r="E33" s="451"/>
      <c r="F33" s="143"/>
      <c r="G33" s="298" t="s">
        <v>524</v>
      </c>
      <c r="H33" s="433" t="b">
        <f>IF(+表紙!$C$14="3タンク式",IF(COUNTBLANK(H20)=0,H20,""))</f>
        <v>0</v>
      </c>
      <c r="I33" s="433" t="b">
        <f>IF(+表紙!$C$14="3タンク式",IF(COUNTBLANK(I20)=0,I20,""))</f>
        <v>0</v>
      </c>
      <c r="J33" s="167" t="s">
        <v>21</v>
      </c>
      <c r="K33" s="457"/>
      <c r="L33" s="458"/>
      <c r="N33" s="7"/>
      <c r="O33" s="7"/>
    </row>
    <row r="34" spans="1:19" s="2" customFormat="1" ht="4.5" customHeight="1" thickBot="1">
      <c r="A34" s="195"/>
      <c r="B34" s="143"/>
      <c r="C34" s="133"/>
      <c r="D34" s="451"/>
      <c r="E34" s="143"/>
      <c r="F34" s="451"/>
      <c r="G34" s="451"/>
      <c r="H34" s="204"/>
      <c r="I34" s="158"/>
      <c r="J34" s="193"/>
      <c r="K34" s="457"/>
      <c r="L34" s="458"/>
      <c r="N34" s="7"/>
      <c r="O34" s="7"/>
      <c r="Q34" s="7"/>
      <c r="R34" s="7"/>
      <c r="S34" s="7"/>
    </row>
    <row r="35" spans="1:19" s="2" customFormat="1" ht="18.75" customHeight="1" thickBot="1">
      <c r="A35" s="196"/>
      <c r="B35" s="133"/>
      <c r="C35" s="198"/>
      <c r="D35" s="146"/>
      <c r="E35" s="146"/>
      <c r="F35" s="143"/>
      <c r="G35" s="146"/>
      <c r="H35" s="434" t="s">
        <v>525</v>
      </c>
      <c r="I35" s="436" t="str">
        <f>IF(COUNT(H33:I33)=2,(H33+I33)/2,"")</f>
        <v/>
      </c>
      <c r="J35" s="167" t="s">
        <v>55</v>
      </c>
      <c r="K35" s="805" t="s">
        <v>20</v>
      </c>
      <c r="L35" s="806"/>
      <c r="Q35" s="7"/>
      <c r="R35" s="7"/>
      <c r="S35" s="7"/>
    </row>
    <row r="36" spans="1:19" s="2" customFormat="1" ht="3.75" customHeight="1" thickBot="1">
      <c r="A36" s="196"/>
      <c r="B36" s="133"/>
      <c r="C36" s="198"/>
      <c r="D36" s="146"/>
      <c r="E36" s="146"/>
      <c r="F36" s="143"/>
      <c r="G36" s="146"/>
      <c r="H36" s="204"/>
      <c r="I36" s="432"/>
      <c r="J36" s="167"/>
      <c r="K36" s="457"/>
      <c r="L36" s="458"/>
      <c r="Q36" s="7"/>
      <c r="R36" s="7"/>
      <c r="S36" s="7"/>
    </row>
    <row r="37" spans="1:19" s="2" customFormat="1" ht="18.75" customHeight="1" thickBot="1">
      <c r="A37" s="196"/>
      <c r="B37" s="133"/>
      <c r="C37" s="198"/>
      <c r="D37" s="146"/>
      <c r="E37" s="146"/>
      <c r="F37" s="143"/>
      <c r="G37" s="146"/>
      <c r="H37" s="158" t="s">
        <v>58</v>
      </c>
      <c r="I37" s="395" t="str">
        <f>IF(I35&lt;&gt;"",ABS(H33-I33)/I35,"")</f>
        <v/>
      </c>
      <c r="J37" s="468" t="s">
        <v>505</v>
      </c>
      <c r="K37" s="457"/>
      <c r="L37" s="458"/>
      <c r="Q37" s="7"/>
      <c r="R37" s="7"/>
      <c r="S37" s="7"/>
    </row>
    <row r="38" spans="1:19" s="2" customFormat="1" ht="18" customHeight="1">
      <c r="A38" s="132"/>
      <c r="B38" s="199" t="s">
        <v>89</v>
      </c>
      <c r="C38" s="451"/>
      <c r="D38" s="146"/>
      <c r="E38" s="143"/>
      <c r="F38" s="146"/>
      <c r="G38" s="146"/>
      <c r="H38" s="146"/>
      <c r="I38" s="403"/>
      <c r="J38" s="167"/>
      <c r="K38" s="466"/>
      <c r="L38" s="202"/>
    </row>
    <row r="39" spans="1:19" s="2" customFormat="1" ht="18" customHeight="1">
      <c r="A39" s="132"/>
      <c r="B39" s="199"/>
      <c r="C39" s="451"/>
      <c r="D39" s="146"/>
      <c r="E39" s="143"/>
      <c r="F39" s="146"/>
      <c r="G39" s="298" t="s">
        <v>524</v>
      </c>
      <c r="H39" s="433" t="b">
        <f>IF(I26&lt;&gt;"",IF(COUNT(H21,H25,I26,I28,I30)=5,H21+I30*(H25-$O$32)*I26/(60*I28),""))</f>
        <v>0</v>
      </c>
      <c r="I39" s="433" t="b">
        <f>IF(I26&lt;&gt;"",IF(COUNT(I21,I25,I26,I28,I30)=5,I21+I30*(I25-$O$32)*I26/(60*I28),""))</f>
        <v>0</v>
      </c>
      <c r="J39" s="167" t="s">
        <v>21</v>
      </c>
      <c r="K39" s="435"/>
      <c r="L39" s="202"/>
    </row>
    <row r="40" spans="1:19" s="2" customFormat="1" ht="3" customHeight="1" thickBot="1">
      <c r="A40" s="132"/>
      <c r="B40" s="146"/>
      <c r="C40" s="451"/>
      <c r="D40" s="143"/>
      <c r="E40" s="143"/>
      <c r="F40" s="146"/>
      <c r="G40" s="146"/>
      <c r="H40" s="146"/>
      <c r="I40" s="403"/>
      <c r="J40" s="167"/>
      <c r="K40" s="466"/>
      <c r="L40" s="202"/>
    </row>
    <row r="41" spans="1:19" s="2" customFormat="1" ht="18.75" customHeight="1" thickBot="1">
      <c r="A41" s="200"/>
      <c r="B41" s="133"/>
      <c r="C41" s="451"/>
      <c r="D41" s="146"/>
      <c r="E41" s="146"/>
      <c r="F41" s="146"/>
      <c r="G41" s="199"/>
      <c r="H41" s="204" t="s">
        <v>281</v>
      </c>
      <c r="I41" s="436" t="str">
        <f>IF(COUNT(H39:I39)=2,(H39+I39)/2,"")</f>
        <v/>
      </c>
      <c r="J41" s="167" t="s">
        <v>55</v>
      </c>
      <c r="K41" s="805" t="s">
        <v>20</v>
      </c>
      <c r="L41" s="806"/>
    </row>
    <row r="42" spans="1:19" s="2" customFormat="1" ht="4.5" customHeight="1" thickBot="1">
      <c r="A42" s="200"/>
      <c r="B42" s="133"/>
      <c r="C42" s="451"/>
      <c r="D42" s="146"/>
      <c r="E42" s="146"/>
      <c r="F42" s="146"/>
      <c r="G42" s="199"/>
      <c r="H42" s="204"/>
      <c r="I42" s="432"/>
      <c r="J42" s="167"/>
      <c r="K42" s="457"/>
      <c r="L42" s="458"/>
    </row>
    <row r="43" spans="1:19" s="2" customFormat="1" ht="17.25" customHeight="1" thickBot="1">
      <c r="A43" s="200"/>
      <c r="B43" s="133"/>
      <c r="C43" s="451"/>
      <c r="D43" s="146"/>
      <c r="E43" s="146"/>
      <c r="F43" s="146"/>
      <c r="G43" s="199"/>
      <c r="H43" s="158" t="s">
        <v>58</v>
      </c>
      <c r="I43" s="395" t="str">
        <f>IF(I41&lt;&gt;"",ABS(H39-I39)/I41,"")</f>
        <v/>
      </c>
      <c r="J43" s="468" t="s">
        <v>505</v>
      </c>
      <c r="K43" s="457"/>
      <c r="L43" s="458"/>
    </row>
    <row r="44" spans="1:19" s="2" customFormat="1" ht="18.75" customHeight="1">
      <c r="A44" s="200"/>
      <c r="B44" s="199" t="s">
        <v>52</v>
      </c>
      <c r="C44" s="198"/>
      <c r="D44" s="146"/>
      <c r="E44" s="146"/>
      <c r="F44" s="146"/>
      <c r="G44" s="199"/>
      <c r="H44" s="204"/>
      <c r="I44" s="404"/>
      <c r="J44" s="167"/>
      <c r="K44" s="457"/>
      <c r="L44" s="458"/>
    </row>
    <row r="45" spans="1:19" s="2" customFormat="1" ht="18.75" customHeight="1">
      <c r="A45" s="200"/>
      <c r="B45" s="199"/>
      <c r="C45" s="198"/>
      <c r="D45" s="146"/>
      <c r="E45" s="146"/>
      <c r="F45" s="146"/>
      <c r="G45" s="298" t="s">
        <v>524</v>
      </c>
      <c r="H45" s="437" t="b">
        <f>IF(I27&lt;&gt;"",(IF(COUNT(H22,H25,I27,I29,I30)=5,H22+I30*(H25-$O$32)*I27/(60*I29),"")))</f>
        <v>0</v>
      </c>
      <c r="I45" s="437" t="b">
        <f>IF(I27&lt;&gt;"",(IF(COUNT(I22,I25,I27,I29,I30)=5,I22+I30*(I25-$O$32)*I27/(60*I29),"")))</f>
        <v>0</v>
      </c>
      <c r="J45" s="167" t="s">
        <v>21</v>
      </c>
      <c r="K45" s="457"/>
      <c r="L45" s="458"/>
    </row>
    <row r="46" spans="1:19" s="2" customFormat="1" ht="3.75" customHeight="1" thickBot="1">
      <c r="A46" s="200"/>
      <c r="B46" s="201"/>
      <c r="C46" s="143"/>
      <c r="D46" s="146"/>
      <c r="E46" s="143"/>
      <c r="F46" s="146"/>
      <c r="G46" s="199"/>
      <c r="H46" s="204"/>
      <c r="I46" s="404"/>
      <c r="J46" s="167"/>
      <c r="K46" s="457"/>
      <c r="L46" s="458"/>
      <c r="M46" s="1"/>
    </row>
    <row r="47" spans="1:19" s="2" customFormat="1" ht="18.75" customHeight="1" thickBot="1">
      <c r="A47" s="200"/>
      <c r="B47" s="133"/>
      <c r="C47" s="198"/>
      <c r="D47" s="146"/>
      <c r="E47" s="146"/>
      <c r="F47" s="146"/>
      <c r="G47" s="199"/>
      <c r="H47" s="204" t="s">
        <v>281</v>
      </c>
      <c r="I47" s="436" t="str">
        <f>IF(COUNT(H45:I45)=2,(H45+I45)/2,"")</f>
        <v/>
      </c>
      <c r="J47" s="167" t="s">
        <v>21</v>
      </c>
      <c r="K47" s="805" t="s">
        <v>20</v>
      </c>
      <c r="L47" s="806"/>
      <c r="M47" s="1"/>
    </row>
    <row r="48" spans="1:19" s="2" customFormat="1" ht="4.5" customHeight="1" thickBot="1">
      <c r="A48" s="200"/>
      <c r="B48" s="133"/>
      <c r="C48" s="198"/>
      <c r="D48" s="146"/>
      <c r="E48" s="146"/>
      <c r="F48" s="146"/>
      <c r="G48" s="199"/>
      <c r="H48" s="204"/>
      <c r="I48" s="432"/>
      <c r="J48" s="167"/>
      <c r="K48" s="457"/>
      <c r="L48" s="458"/>
      <c r="M48" s="1"/>
    </row>
    <row r="49" spans="1:13" s="2" customFormat="1" ht="17.25" customHeight="1" thickBot="1">
      <c r="A49" s="200"/>
      <c r="B49" s="133"/>
      <c r="C49" s="198"/>
      <c r="D49" s="146"/>
      <c r="E49" s="146"/>
      <c r="F49" s="146"/>
      <c r="G49" s="199"/>
      <c r="H49" s="158" t="s">
        <v>58</v>
      </c>
      <c r="I49" s="395" t="str">
        <f>IF(I47&lt;&gt;"",ABS(H45-I45)/I47,"")</f>
        <v/>
      </c>
      <c r="J49" s="468" t="s">
        <v>505</v>
      </c>
      <c r="K49" s="457"/>
      <c r="L49" s="458"/>
      <c r="M49" s="1"/>
    </row>
    <row r="50" spans="1:13" s="2" customFormat="1" ht="18.75" customHeight="1">
      <c r="A50" s="200"/>
      <c r="B50" s="199" t="s">
        <v>53</v>
      </c>
      <c r="C50" s="146"/>
      <c r="D50" s="146"/>
      <c r="E50" s="146"/>
      <c r="F50" s="146"/>
      <c r="G50" s="146"/>
      <c r="H50" s="204"/>
      <c r="I50" s="404"/>
      <c r="J50" s="167"/>
      <c r="K50" s="457"/>
      <c r="L50" s="458"/>
    </row>
    <row r="51" spans="1:13" s="2" customFormat="1" ht="18.75" customHeight="1">
      <c r="A51" s="200"/>
      <c r="B51" s="199"/>
      <c r="C51" s="146"/>
      <c r="D51" s="146"/>
      <c r="E51" s="146"/>
      <c r="F51" s="146"/>
      <c r="G51" s="298" t="s">
        <v>524</v>
      </c>
      <c r="H51" s="437" t="str">
        <f>IF(+表紙!G14="有",IF(COUNT(H23,H24)=2,H23+(80-20)/(80-H24),""),"")</f>
        <v/>
      </c>
      <c r="I51" s="437" t="str">
        <f>IF(+表紙!G14="有",IF(COUNT(I23,I24)=2,I23+(80-20)/(80-I24),""),"")</f>
        <v/>
      </c>
      <c r="J51" s="167"/>
      <c r="K51" s="457"/>
      <c r="L51" s="458"/>
    </row>
    <row r="52" spans="1:13" s="2" customFormat="1" ht="3.75" customHeight="1" thickBot="1">
      <c r="A52" s="200"/>
      <c r="B52" s="201"/>
      <c r="C52" s="143"/>
      <c r="D52" s="146"/>
      <c r="E52" s="143"/>
      <c r="F52" s="146"/>
      <c r="G52" s="146"/>
      <c r="H52" s="204"/>
      <c r="I52" s="404"/>
      <c r="J52" s="167"/>
      <c r="K52" s="457"/>
      <c r="L52" s="458"/>
    </row>
    <row r="53" spans="1:13" s="2" customFormat="1" ht="18.75" customHeight="1" thickBot="1">
      <c r="A53" s="200"/>
      <c r="B53" s="133"/>
      <c r="C53" s="146"/>
      <c r="D53" s="146"/>
      <c r="E53" s="146"/>
      <c r="F53" s="146"/>
      <c r="G53" s="146"/>
      <c r="H53" s="204" t="s">
        <v>281</v>
      </c>
      <c r="I53" s="436" t="str">
        <f>IF(COUNT(H51:I51)=2,(H51+I51)/2,"")</f>
        <v/>
      </c>
      <c r="J53" s="167" t="s">
        <v>71</v>
      </c>
      <c r="K53" s="805" t="s">
        <v>20</v>
      </c>
      <c r="L53" s="806"/>
    </row>
    <row r="54" spans="1:13" s="2" customFormat="1" ht="3.75" customHeight="1" thickBot="1">
      <c r="A54" s="200"/>
      <c r="B54" s="133"/>
      <c r="C54" s="146"/>
      <c r="D54" s="146"/>
      <c r="E54" s="146"/>
      <c r="F54" s="146"/>
      <c r="G54" s="146"/>
      <c r="H54" s="204"/>
      <c r="I54" s="432"/>
      <c r="J54" s="167"/>
      <c r="K54" s="457"/>
      <c r="L54" s="458"/>
    </row>
    <row r="55" spans="1:13" s="2" customFormat="1" ht="17.25" customHeight="1" thickBot="1">
      <c r="A55" s="200"/>
      <c r="B55" s="133"/>
      <c r="C55" s="146"/>
      <c r="D55" s="146"/>
      <c r="E55" s="146"/>
      <c r="F55" s="146"/>
      <c r="G55" s="146"/>
      <c r="H55" s="158" t="s">
        <v>58</v>
      </c>
      <c r="I55" s="395" t="str">
        <f>IF(I53&lt;&gt;"",ABS(H51-I51)/I53,"")</f>
        <v/>
      </c>
      <c r="J55" s="468" t="s">
        <v>505</v>
      </c>
      <c r="K55" s="457"/>
      <c r="L55" s="458"/>
    </row>
    <row r="56" spans="1:13" s="2" customFormat="1" ht="7.5" customHeight="1" thickBot="1">
      <c r="A56" s="172"/>
      <c r="B56" s="153"/>
      <c r="C56" s="293"/>
      <c r="D56" s="152"/>
      <c r="E56" s="293"/>
      <c r="F56" s="293"/>
      <c r="G56" s="293"/>
      <c r="H56" s="153"/>
      <c r="I56" s="313"/>
      <c r="J56" s="295"/>
      <c r="K56" s="314"/>
      <c r="L56" s="276"/>
    </row>
    <row r="57" spans="1:13" s="2" customFormat="1" ht="19.899999999999999" customHeight="1" thickBot="1">
      <c r="A57" s="111"/>
      <c r="B57" s="111"/>
      <c r="C57" s="112"/>
      <c r="D57" s="112"/>
      <c r="E57" s="112"/>
      <c r="F57" s="112"/>
      <c r="G57" s="112"/>
      <c r="H57" s="111"/>
      <c r="I57" s="111"/>
      <c r="J57" s="113"/>
      <c r="K57" s="114"/>
      <c r="L57" s="115"/>
    </row>
    <row r="58" spans="1:13" s="2" customFormat="1" ht="18.75" customHeight="1" thickBot="1">
      <c r="A58" s="763" t="s">
        <v>196</v>
      </c>
      <c r="B58" s="764"/>
      <c r="C58" s="764"/>
      <c r="D58" s="764"/>
      <c r="E58" s="764"/>
      <c r="F58" s="764"/>
      <c r="G58" s="764"/>
      <c r="H58" s="764"/>
      <c r="I58" s="764"/>
      <c r="J58" s="764"/>
      <c r="K58" s="764"/>
      <c r="L58" s="765"/>
    </row>
    <row r="59" spans="1:13" s="2" customFormat="1" ht="28.5" customHeight="1" thickTop="1">
      <c r="A59" s="801" t="s">
        <v>206</v>
      </c>
      <c r="B59" s="802"/>
      <c r="C59" s="766" t="str">
        <f>+表紙!$B$3&amp;"　　（３．立上り性能）"</f>
        <v>ラックコンベア洗浄機、フライトコンベア洗浄機、フラットコンベア洗浄機(選択してください)　　（３．立上り性能）</v>
      </c>
      <c r="D59" s="767"/>
      <c r="E59" s="767"/>
      <c r="F59" s="767"/>
      <c r="G59" s="767"/>
      <c r="H59" s="767"/>
      <c r="I59" s="767"/>
      <c r="J59" s="767"/>
      <c r="K59" s="803" t="str">
        <f>"ガス種："&amp;表紙!$K$11</f>
        <v>ガス種：選択して下さい</v>
      </c>
      <c r="L59" s="804"/>
    </row>
    <row r="60" spans="1:13" s="2" customFormat="1" ht="18" customHeight="1" thickBot="1">
      <c r="A60" s="796" t="s">
        <v>282</v>
      </c>
      <c r="B60" s="797"/>
      <c r="C60" s="770" t="str">
        <f>IF(表紙!$B$6=0,"",表紙!$B$6)</f>
        <v/>
      </c>
      <c r="D60" s="771"/>
      <c r="E60" s="771"/>
      <c r="F60" s="771"/>
      <c r="G60" s="784"/>
      <c r="H60" s="5" t="s">
        <v>1</v>
      </c>
      <c r="I60" s="770" t="str">
        <f>IF(表紙!$H$5=0,"",表紙!$H$5)</f>
        <v/>
      </c>
      <c r="J60" s="771"/>
      <c r="K60" s="771"/>
      <c r="L60" s="772"/>
    </row>
    <row r="61" spans="1:13" s="2" customFormat="1" ht="14.25" customHeight="1">
      <c r="A61" s="182"/>
      <c r="B61" s="144"/>
      <c r="C61" s="144"/>
      <c r="D61" s="184"/>
      <c r="E61" s="184"/>
      <c r="F61" s="185"/>
      <c r="G61" s="146"/>
      <c r="H61" s="186"/>
      <c r="I61" s="144"/>
      <c r="J61" s="186"/>
      <c r="K61" s="459"/>
      <c r="L61" s="187"/>
    </row>
    <row r="62" spans="1:13" s="2" customFormat="1" ht="21" customHeight="1" thickBot="1">
      <c r="A62" s="132"/>
      <c r="B62" s="228" t="s">
        <v>429</v>
      </c>
      <c r="C62" s="133"/>
      <c r="D62" s="146"/>
      <c r="E62" s="146"/>
      <c r="F62" s="146"/>
      <c r="G62" s="146"/>
      <c r="H62" s="146"/>
      <c r="I62" s="146"/>
      <c r="J62" s="167"/>
      <c r="K62" s="194"/>
      <c r="L62" s="467"/>
    </row>
    <row r="63" spans="1:13" s="2" customFormat="1" ht="30" customHeight="1" thickBot="1">
      <c r="A63" s="132"/>
      <c r="B63" s="133"/>
      <c r="C63" s="451" t="s">
        <v>104</v>
      </c>
      <c r="D63" s="133"/>
      <c r="E63" s="146"/>
      <c r="F63" s="146"/>
      <c r="G63" s="146"/>
      <c r="H63" s="204" t="s">
        <v>430</v>
      </c>
      <c r="I63" s="402" t="str">
        <f>IF(I41="","",MAX(I35,I41,I47,I53))</f>
        <v/>
      </c>
      <c r="J63" s="167" t="s">
        <v>71</v>
      </c>
      <c r="K63" s="805" t="s">
        <v>20</v>
      </c>
      <c r="L63" s="806"/>
      <c r="M63" s="7"/>
    </row>
    <row r="64" spans="1:13" s="2" customFormat="1" ht="9.75" customHeight="1">
      <c r="A64" s="132"/>
      <c r="B64" s="133"/>
      <c r="C64" s="451"/>
      <c r="D64" s="133"/>
      <c r="E64" s="146"/>
      <c r="F64" s="146"/>
      <c r="G64" s="146"/>
      <c r="H64" s="204"/>
      <c r="I64" s="290"/>
      <c r="J64" s="167"/>
      <c r="K64" s="457"/>
      <c r="L64" s="458"/>
      <c r="M64" s="7"/>
    </row>
    <row r="65" spans="1:13" s="2" customFormat="1" ht="15" customHeight="1">
      <c r="A65" s="132"/>
      <c r="B65" s="133"/>
      <c r="C65" s="133"/>
      <c r="D65" s="451"/>
      <c r="E65" s="146"/>
      <c r="F65" s="146"/>
      <c r="G65" s="146"/>
      <c r="H65" s="144" t="s">
        <v>32</v>
      </c>
      <c r="I65" s="144" t="s">
        <v>34</v>
      </c>
      <c r="J65" s="451"/>
      <c r="K65" s="457"/>
      <c r="L65" s="458"/>
      <c r="M65" s="7"/>
    </row>
    <row r="66" spans="1:13" s="2" customFormat="1" ht="18" customHeight="1">
      <c r="A66" s="132"/>
      <c r="B66" s="133"/>
      <c r="C66" s="133" t="s">
        <v>431</v>
      </c>
      <c r="D66" s="451"/>
      <c r="E66" s="146"/>
      <c r="F66" s="146"/>
      <c r="G66" s="146"/>
      <c r="H66" s="370" t="str">
        <f>IF(COUNTA(H20:H23)&lt;&gt;0,MAX(H20:H23),"")</f>
        <v/>
      </c>
      <c r="I66" s="370" t="str">
        <f>IF(COUNTA(I20:I23)&lt;&gt;0,MAX(I20:I23),"")</f>
        <v/>
      </c>
      <c r="J66" s="193" t="s">
        <v>21</v>
      </c>
      <c r="K66" s="805" t="s">
        <v>20</v>
      </c>
      <c r="L66" s="806"/>
      <c r="M66" s="7"/>
    </row>
    <row r="67" spans="1:13" s="2" customFormat="1" ht="3.75" customHeight="1">
      <c r="A67" s="132"/>
      <c r="B67" s="133"/>
      <c r="C67" s="133"/>
      <c r="D67" s="451"/>
      <c r="E67" s="146"/>
      <c r="F67" s="146"/>
      <c r="G67" s="146"/>
      <c r="H67" s="204"/>
      <c r="I67" s="290"/>
      <c r="J67" s="451"/>
      <c r="K67" s="457"/>
      <c r="L67" s="458"/>
      <c r="M67" s="7"/>
    </row>
    <row r="68" spans="1:13" s="2" customFormat="1" ht="22.5" customHeight="1">
      <c r="A68" s="132"/>
      <c r="B68" s="133"/>
      <c r="C68" s="133"/>
      <c r="D68" s="451"/>
      <c r="E68" s="146"/>
      <c r="F68" s="133"/>
      <c r="G68" s="291"/>
      <c r="H68" s="292"/>
      <c r="I68" s="292"/>
      <c r="J68" s="466"/>
      <c r="K68" s="449"/>
      <c r="L68" s="450"/>
      <c r="M68" s="14"/>
    </row>
    <row r="69" spans="1:13" s="2" customFormat="1" ht="22.5" customHeight="1">
      <c r="A69" s="132"/>
      <c r="B69" s="228" t="s">
        <v>432</v>
      </c>
      <c r="C69" s="133"/>
      <c r="D69" s="451"/>
      <c r="E69" s="146"/>
      <c r="F69" s="133"/>
      <c r="G69" s="291"/>
      <c r="H69" s="292"/>
      <c r="I69" s="292"/>
      <c r="J69" s="466"/>
      <c r="K69" s="449"/>
      <c r="L69" s="450"/>
      <c r="M69" s="14"/>
    </row>
    <row r="70" spans="1:13" s="2" customFormat="1" ht="22.5" customHeight="1">
      <c r="A70" s="132"/>
      <c r="B70" s="133"/>
      <c r="C70" s="333" t="s">
        <v>433</v>
      </c>
      <c r="D70" s="229"/>
      <c r="E70" s="229"/>
      <c r="F70" s="229"/>
      <c r="G70" s="144"/>
      <c r="H70" s="231"/>
      <c r="I70" s="231"/>
      <c r="J70" s="466"/>
      <c r="K70" s="466"/>
      <c r="L70" s="467"/>
      <c r="M70" s="14"/>
    </row>
    <row r="71" spans="1:13" s="2" customFormat="1" ht="22.5" customHeight="1">
      <c r="A71" s="132"/>
      <c r="B71" s="133"/>
      <c r="C71" s="133" t="s">
        <v>434</v>
      </c>
      <c r="D71" s="133"/>
      <c r="E71" s="143"/>
      <c r="F71" s="143"/>
      <c r="G71" s="485"/>
      <c r="H71" s="485"/>
      <c r="I71" s="485"/>
      <c r="J71" s="485"/>
      <c r="K71" s="485"/>
      <c r="L71" s="134"/>
      <c r="M71" s="14"/>
    </row>
    <row r="72" spans="1:13" s="2" customFormat="1" ht="22.5" customHeight="1">
      <c r="A72" s="132"/>
      <c r="B72" s="133"/>
      <c r="C72" s="483"/>
      <c r="D72" s="143"/>
      <c r="E72" s="483"/>
      <c r="F72" s="483"/>
      <c r="G72" s="483"/>
      <c r="H72" s="483"/>
      <c r="I72" s="483"/>
      <c r="J72" s="483"/>
      <c r="K72" s="483"/>
      <c r="L72" s="134"/>
      <c r="M72" s="14"/>
    </row>
    <row r="73" spans="1:13" s="2" customFormat="1" ht="22.5" customHeight="1">
      <c r="A73" s="132"/>
      <c r="B73" s="133"/>
      <c r="C73" s="483"/>
      <c r="D73" s="483"/>
      <c r="E73" s="483"/>
      <c r="F73" s="483"/>
      <c r="G73" s="483"/>
      <c r="H73" s="144"/>
      <c r="I73" s="232"/>
      <c r="J73" s="483"/>
      <c r="K73" s="483"/>
      <c r="L73" s="134"/>
      <c r="M73" s="14"/>
    </row>
    <row r="74" spans="1:13" s="2" customFormat="1" ht="20.25" customHeight="1">
      <c r="A74" s="132"/>
      <c r="B74" s="133"/>
      <c r="C74" s="483"/>
      <c r="D74" s="483"/>
      <c r="E74" s="483"/>
      <c r="F74" s="483"/>
      <c r="G74" s="483"/>
      <c r="H74" s="144" t="s">
        <v>32</v>
      </c>
      <c r="I74" s="232" t="s">
        <v>34</v>
      </c>
      <c r="J74" s="483"/>
      <c r="K74" s="483"/>
      <c r="L74" s="134"/>
      <c r="M74" s="14"/>
    </row>
    <row r="75" spans="1:13" s="2" customFormat="1" ht="21" customHeight="1">
      <c r="A75" s="132"/>
      <c r="B75" s="133"/>
      <c r="C75" s="785" t="s">
        <v>250</v>
      </c>
      <c r="D75" s="779"/>
      <c r="E75" s="779"/>
      <c r="F75" s="485"/>
      <c r="G75" s="131" t="s">
        <v>243</v>
      </c>
      <c r="H75" s="372"/>
      <c r="I75" s="372"/>
      <c r="J75" s="494" t="s">
        <v>259</v>
      </c>
      <c r="K75" s="807" t="s">
        <v>39</v>
      </c>
      <c r="L75" s="808"/>
      <c r="M75" s="14"/>
    </row>
    <row r="76" spans="1:13" s="2" customFormat="1" ht="21" customHeight="1">
      <c r="A76" s="132"/>
      <c r="B76" s="133"/>
      <c r="C76" s="785" t="s">
        <v>251</v>
      </c>
      <c r="D76" s="779"/>
      <c r="E76" s="779"/>
      <c r="F76" s="779"/>
      <c r="G76" s="131" t="s">
        <v>244</v>
      </c>
      <c r="H76" s="373"/>
      <c r="I76" s="373"/>
      <c r="J76" s="494" t="s">
        <v>127</v>
      </c>
      <c r="K76" s="798" t="s">
        <v>61</v>
      </c>
      <c r="L76" s="799"/>
      <c r="M76" s="14"/>
    </row>
    <row r="77" spans="1:13" s="2" customFormat="1" ht="21" customHeight="1">
      <c r="A77" s="132"/>
      <c r="B77" s="133"/>
      <c r="C77" s="785" t="s">
        <v>252</v>
      </c>
      <c r="D77" s="785"/>
      <c r="E77" s="785"/>
      <c r="F77" s="785"/>
      <c r="G77" s="131" t="s">
        <v>245</v>
      </c>
      <c r="H77" s="374"/>
      <c r="I77" s="374"/>
      <c r="J77" s="494" t="s">
        <v>145</v>
      </c>
      <c r="K77" s="807" t="s">
        <v>16</v>
      </c>
      <c r="L77" s="808"/>
      <c r="M77" s="14"/>
    </row>
    <row r="78" spans="1:13" s="2" customFormat="1" ht="21" customHeight="1">
      <c r="A78" s="132"/>
      <c r="B78" s="133"/>
      <c r="C78" s="785" t="s">
        <v>253</v>
      </c>
      <c r="D78" s="785"/>
      <c r="E78" s="785"/>
      <c r="F78" s="785"/>
      <c r="G78" s="131" t="s">
        <v>246</v>
      </c>
      <c r="H78" s="375"/>
      <c r="I78" s="375"/>
      <c r="J78" s="494" t="s">
        <v>146</v>
      </c>
      <c r="K78" s="807" t="s">
        <v>20</v>
      </c>
      <c r="L78" s="808"/>
      <c r="M78" s="14"/>
    </row>
    <row r="79" spans="1:13" s="2" customFormat="1" ht="21" customHeight="1">
      <c r="A79" s="132"/>
      <c r="B79" s="133"/>
      <c r="C79" s="785" t="s">
        <v>254</v>
      </c>
      <c r="D79" s="785"/>
      <c r="E79" s="785"/>
      <c r="F79" s="785"/>
      <c r="G79" s="131" t="s">
        <v>247</v>
      </c>
      <c r="H79" s="375"/>
      <c r="I79" s="375"/>
      <c r="J79" s="494" t="s">
        <v>146</v>
      </c>
      <c r="K79" s="807" t="s">
        <v>20</v>
      </c>
      <c r="L79" s="808"/>
      <c r="M79" s="14"/>
    </row>
    <row r="80" spans="1:13" s="2" customFormat="1" ht="21" customHeight="1">
      <c r="A80" s="132"/>
      <c r="B80" s="133"/>
      <c r="C80" s="785" t="s">
        <v>435</v>
      </c>
      <c r="D80" s="785"/>
      <c r="E80" s="785"/>
      <c r="F80" s="785"/>
      <c r="G80" s="131" t="s">
        <v>248</v>
      </c>
      <c r="H80" s="495" t="str">
        <f>IF(COUNTBLANK(H75:H79)=0,IF(H82="乾　式","0.00",10^(7.203-1735.74/(H77+234))),"")</f>
        <v/>
      </c>
      <c r="I80" s="495" t="str">
        <f>IF(COUNTBLANK(I75:I79)=0,IF(H82="乾　式","0.00",10^(7.203-1735.74/(I77+234))),"")</f>
        <v/>
      </c>
      <c r="J80" s="494" t="s">
        <v>147</v>
      </c>
      <c r="K80" s="807" t="s">
        <v>20</v>
      </c>
      <c r="L80" s="808"/>
      <c r="M80" s="14"/>
    </row>
    <row r="81" spans="1:13" s="2" customFormat="1" ht="6.75" customHeight="1">
      <c r="A81" s="132"/>
      <c r="B81" s="133"/>
      <c r="C81" s="490"/>
      <c r="D81" s="490"/>
      <c r="E81" s="490"/>
      <c r="F81" s="493"/>
      <c r="G81" s="491"/>
      <c r="H81" s="496"/>
      <c r="I81" s="497"/>
      <c r="J81" s="486"/>
      <c r="K81" s="449"/>
      <c r="L81" s="450"/>
      <c r="M81" s="14"/>
    </row>
    <row r="82" spans="1:13" s="2" customFormat="1" ht="18.75" customHeight="1">
      <c r="A82" s="132"/>
      <c r="B82" s="133"/>
      <c r="C82" s="334" t="s">
        <v>474</v>
      </c>
      <c r="D82" s="498"/>
      <c r="E82" s="498"/>
      <c r="F82" s="498"/>
      <c r="G82" s="499"/>
      <c r="H82" s="548" t="s">
        <v>533</v>
      </c>
      <c r="I82" s="500"/>
      <c r="J82" s="486"/>
      <c r="K82" s="483"/>
      <c r="L82" s="134"/>
      <c r="M82" s="14"/>
    </row>
    <row r="83" spans="1:13" s="2" customFormat="1" ht="22.5" customHeight="1">
      <c r="A83" s="132"/>
      <c r="B83" s="133"/>
      <c r="C83" s="501" t="s">
        <v>475</v>
      </c>
      <c r="D83" s="501"/>
      <c r="E83" s="501"/>
      <c r="F83" s="501"/>
      <c r="G83" s="501"/>
      <c r="H83" s="501"/>
      <c r="I83" s="501"/>
      <c r="J83" s="501"/>
      <c r="K83" s="502"/>
      <c r="L83" s="233"/>
      <c r="M83" s="14"/>
    </row>
    <row r="84" spans="1:13" s="2" customFormat="1" ht="22.5" customHeight="1">
      <c r="A84" s="132"/>
      <c r="B84" s="133"/>
      <c r="C84" s="501" t="s">
        <v>476</v>
      </c>
      <c r="D84" s="501"/>
      <c r="E84" s="501"/>
      <c r="F84" s="501"/>
      <c r="G84" s="501"/>
      <c r="H84" s="501"/>
      <c r="I84" s="501"/>
      <c r="J84" s="501"/>
      <c r="K84" s="483"/>
      <c r="L84" s="134"/>
      <c r="M84" s="14"/>
    </row>
    <row r="85" spans="1:13" s="2" customFormat="1" ht="17.25" customHeight="1">
      <c r="A85" s="132"/>
      <c r="B85" s="133"/>
      <c r="C85" s="786"/>
      <c r="D85" s="787"/>
      <c r="E85" s="787"/>
      <c r="F85" s="787"/>
      <c r="G85" s="787"/>
      <c r="H85" s="787"/>
      <c r="I85" s="144"/>
      <c r="J85" s="133"/>
      <c r="K85" s="133"/>
      <c r="L85" s="141"/>
      <c r="M85" s="14"/>
    </row>
    <row r="86" spans="1:13" s="2" customFormat="1" ht="16.5" customHeight="1">
      <c r="A86" s="132"/>
      <c r="B86" s="133"/>
      <c r="C86" s="451"/>
      <c r="D86" s="146"/>
      <c r="E86" s="146"/>
      <c r="F86" s="146"/>
      <c r="G86" s="146"/>
      <c r="H86" s="146"/>
      <c r="I86" s="144"/>
      <c r="J86" s="133"/>
      <c r="K86" s="133"/>
      <c r="L86" s="141"/>
      <c r="M86" s="14"/>
    </row>
    <row r="87" spans="1:13" s="2" customFormat="1" ht="15" customHeight="1">
      <c r="A87" s="132"/>
      <c r="B87" s="133"/>
      <c r="C87" s="451"/>
      <c r="D87" s="146"/>
      <c r="E87" s="146"/>
      <c r="F87" s="146"/>
      <c r="G87" s="146"/>
      <c r="H87" s="144" t="s">
        <v>32</v>
      </c>
      <c r="I87" s="232" t="s">
        <v>34</v>
      </c>
      <c r="J87" s="133"/>
      <c r="K87" s="133"/>
      <c r="L87" s="141"/>
      <c r="M87" s="14"/>
    </row>
    <row r="88" spans="1:13" s="2" customFormat="1" ht="22.5" customHeight="1">
      <c r="A88" s="132"/>
      <c r="B88" s="133"/>
      <c r="C88" s="234"/>
      <c r="D88" s="493"/>
      <c r="E88" s="493"/>
      <c r="F88" s="493"/>
      <c r="G88" s="298" t="s">
        <v>437</v>
      </c>
      <c r="H88" s="376" t="str">
        <f>IF(COUNTBLANK(H75:H79)=0,(H75*H76*(H78+H79-H80)*273/3600/101.3/(273+H77)),"")</f>
        <v/>
      </c>
      <c r="I88" s="376" t="str">
        <f>IF(COUNTBLANK(I75:I79)=0,(I75*I76*(I78+I79-I80)*273/3600/101.3/(273+I77)),"")</f>
        <v/>
      </c>
      <c r="J88" s="466" t="s">
        <v>70</v>
      </c>
      <c r="K88" s="807" t="s">
        <v>39</v>
      </c>
      <c r="L88" s="808"/>
      <c r="M88" s="14"/>
    </row>
    <row r="89" spans="1:13" s="2" customFormat="1" ht="8.25" customHeight="1">
      <c r="A89" s="132"/>
      <c r="B89" s="133"/>
      <c r="C89" s="133"/>
      <c r="D89" s="451"/>
      <c r="E89" s="146"/>
      <c r="F89" s="133"/>
      <c r="G89" s="291"/>
      <c r="H89" s="292"/>
      <c r="I89" s="292"/>
      <c r="J89" s="466"/>
      <c r="K89" s="449"/>
      <c r="L89" s="450"/>
      <c r="M89" s="14"/>
    </row>
    <row r="90" spans="1:13" s="2" customFormat="1" ht="22.5" customHeight="1">
      <c r="A90" s="132"/>
      <c r="B90" s="228" t="s">
        <v>436</v>
      </c>
      <c r="C90" s="133"/>
      <c r="D90" s="451"/>
      <c r="E90" s="146"/>
      <c r="F90" s="133"/>
      <c r="G90" s="291"/>
      <c r="H90" s="292"/>
      <c r="I90" s="292"/>
      <c r="J90" s="466"/>
      <c r="K90" s="449"/>
      <c r="L90" s="450"/>
      <c r="M90" s="14"/>
    </row>
    <row r="91" spans="1:13" s="2" customFormat="1" ht="22.5" customHeight="1">
      <c r="A91" s="132"/>
      <c r="B91" s="133"/>
      <c r="C91" s="201" t="s">
        <v>461</v>
      </c>
      <c r="D91" s="229"/>
      <c r="E91" s="229"/>
      <c r="F91" s="229"/>
      <c r="G91" s="291"/>
      <c r="H91" s="292"/>
      <c r="I91" s="292"/>
      <c r="J91" s="466"/>
      <c r="K91" s="449"/>
      <c r="L91" s="450"/>
      <c r="M91" s="14"/>
    </row>
    <row r="92" spans="1:13" s="2" customFormat="1" ht="17.25" customHeight="1">
      <c r="A92" s="132"/>
      <c r="B92" s="133"/>
      <c r="C92" s="201"/>
      <c r="D92" s="229"/>
      <c r="E92" s="229"/>
      <c r="F92" s="229"/>
      <c r="G92" s="291"/>
      <c r="H92" s="144" t="s">
        <v>32</v>
      </c>
      <c r="I92" s="232" t="s">
        <v>34</v>
      </c>
      <c r="J92" s="466"/>
      <c r="K92" s="449"/>
      <c r="L92" s="450"/>
      <c r="M92" s="14"/>
    </row>
    <row r="93" spans="1:13" s="2" customFormat="1" ht="22.5" customHeight="1">
      <c r="A93" s="132"/>
      <c r="B93" s="133"/>
      <c r="C93" s="133"/>
      <c r="D93" s="451"/>
      <c r="E93" s="146"/>
      <c r="F93" s="133"/>
      <c r="G93" s="299" t="s">
        <v>438</v>
      </c>
      <c r="H93" s="549"/>
      <c r="I93" s="550"/>
      <c r="J93" s="294" t="s">
        <v>70</v>
      </c>
      <c r="K93" s="807" t="s">
        <v>39</v>
      </c>
      <c r="L93" s="808"/>
      <c r="M93" s="14"/>
    </row>
    <row r="94" spans="1:13" s="2" customFormat="1" ht="22.5" customHeight="1">
      <c r="A94" s="132"/>
      <c r="B94" s="133"/>
      <c r="C94" s="133"/>
      <c r="D94" s="451"/>
      <c r="E94" s="146"/>
      <c r="F94" s="133"/>
      <c r="G94" s="299"/>
      <c r="H94" s="292"/>
      <c r="I94" s="292"/>
      <c r="J94" s="466"/>
      <c r="K94" s="449"/>
      <c r="L94" s="450"/>
      <c r="M94" s="14"/>
    </row>
    <row r="95" spans="1:13" s="2" customFormat="1" ht="22.5" customHeight="1">
      <c r="A95" s="132"/>
      <c r="B95" s="133"/>
      <c r="C95" s="133"/>
      <c r="D95" s="451"/>
      <c r="E95" s="146"/>
      <c r="F95" s="133"/>
      <c r="G95" s="299"/>
      <c r="H95" s="292"/>
      <c r="I95" s="292"/>
      <c r="J95" s="466"/>
      <c r="K95" s="449"/>
      <c r="L95" s="450"/>
      <c r="M95" s="14"/>
    </row>
    <row r="96" spans="1:13" s="2" customFormat="1" ht="22.5" customHeight="1">
      <c r="A96" s="132"/>
      <c r="B96" s="133"/>
      <c r="C96" s="133"/>
      <c r="D96" s="451"/>
      <c r="E96" s="146"/>
      <c r="F96" s="133"/>
      <c r="G96" s="299"/>
      <c r="H96" s="292"/>
      <c r="I96" s="292"/>
      <c r="J96" s="466"/>
      <c r="K96" s="449"/>
      <c r="L96" s="450"/>
      <c r="M96" s="14"/>
    </row>
    <row r="97" spans="1:13" s="2" customFormat="1" ht="14.25" customHeight="1">
      <c r="A97" s="132"/>
      <c r="B97" s="133"/>
      <c r="C97" s="133"/>
      <c r="D97" s="451"/>
      <c r="E97" s="146"/>
      <c r="F97" s="133"/>
      <c r="G97" s="291"/>
      <c r="H97" s="292"/>
      <c r="I97" s="292"/>
      <c r="J97" s="466"/>
      <c r="K97" s="449"/>
      <c r="L97" s="450"/>
      <c r="M97" s="14"/>
    </row>
    <row r="98" spans="1:13" s="2" customFormat="1" ht="18" customHeight="1" thickBot="1">
      <c r="A98" s="172"/>
      <c r="B98" s="153"/>
      <c r="C98" s="293"/>
      <c r="D98" s="293"/>
      <c r="E98" s="293"/>
      <c r="F98" s="152"/>
      <c r="G98" s="152"/>
      <c r="H98" s="273"/>
      <c r="I98" s="297"/>
      <c r="J98" s="271"/>
      <c r="K98" s="295"/>
      <c r="L98" s="296"/>
      <c r="M98" s="13"/>
    </row>
    <row r="99" spans="1:13" s="2" customFormat="1" ht="8.4499999999999993" customHeight="1">
      <c r="I99" s="7"/>
      <c r="M99" s="7"/>
    </row>
    <row r="100" spans="1:13" s="2" customFormat="1" ht="15" customHeight="1">
      <c r="I100" s="7"/>
    </row>
    <row r="101" spans="1:13" s="2" customFormat="1" ht="15" customHeight="1">
      <c r="I101" s="7"/>
    </row>
    <row r="102" spans="1:13" s="2" customFormat="1" ht="15" customHeight="1">
      <c r="I102" s="7"/>
    </row>
    <row r="103" spans="1:13" s="2" customFormat="1" ht="15" customHeight="1">
      <c r="I103" s="7"/>
    </row>
    <row r="104" spans="1:13" s="2" customFormat="1" ht="15" customHeight="1">
      <c r="I104" s="7"/>
    </row>
    <row r="105" spans="1:13" s="2" customFormat="1" ht="15" customHeight="1">
      <c r="I105" s="7"/>
    </row>
    <row r="106" spans="1:13" s="2" customFormat="1" ht="15" customHeight="1"/>
    <row r="107" spans="1:13" s="2" customFormat="1" ht="15" customHeight="1">
      <c r="A107" s="1"/>
      <c r="B107" s="1"/>
      <c r="C107" s="1"/>
      <c r="D107" s="1"/>
      <c r="E107" s="1"/>
      <c r="F107" s="1"/>
      <c r="G107" s="1"/>
      <c r="H107" s="1"/>
      <c r="I107" s="1"/>
      <c r="J107" s="1"/>
      <c r="K107" s="1"/>
      <c r="L107" s="1"/>
    </row>
    <row r="108" spans="1:13" s="2" customFormat="1" ht="15" customHeight="1">
      <c r="A108" s="1"/>
      <c r="B108" s="1"/>
      <c r="C108" s="1"/>
      <c r="D108" s="1"/>
      <c r="E108" s="1"/>
      <c r="F108" s="1"/>
      <c r="G108" s="1"/>
      <c r="H108" s="1"/>
      <c r="I108" s="1"/>
      <c r="J108" s="1"/>
      <c r="K108" s="1"/>
      <c r="L108" s="1"/>
    </row>
  </sheetData>
  <sheetProtection password="CC9A" sheet="1" objects="1" scenarios="1" formatCells="0" formatRows="0" insertRows="0" deleteRows="0"/>
  <mergeCells count="54">
    <mergeCell ref="C78:F78"/>
    <mergeCell ref="K75:L75"/>
    <mergeCell ref="K77:L77"/>
    <mergeCell ref="C75:E75"/>
    <mergeCell ref="C76:F76"/>
    <mergeCell ref="C77:F77"/>
    <mergeCell ref="C85:H85"/>
    <mergeCell ref="K88:L88"/>
    <mergeCell ref="K79:L79"/>
    <mergeCell ref="K80:L80"/>
    <mergeCell ref="C80:F80"/>
    <mergeCell ref="C79:F79"/>
    <mergeCell ref="A2:L2"/>
    <mergeCell ref="C4:G4"/>
    <mergeCell ref="I4:L4"/>
    <mergeCell ref="D5:E5"/>
    <mergeCell ref="I5:I6"/>
    <mergeCell ref="A3:B3"/>
    <mergeCell ref="A4:B4"/>
    <mergeCell ref="K5:K6"/>
    <mergeCell ref="D6:E6"/>
    <mergeCell ref="A5:B5"/>
    <mergeCell ref="A6:B6"/>
    <mergeCell ref="F5:G6"/>
    <mergeCell ref="C5:C6"/>
    <mergeCell ref="C3:J3"/>
    <mergeCell ref="K3:L3"/>
    <mergeCell ref="K93:L93"/>
    <mergeCell ref="K21:L21"/>
    <mergeCell ref="K22:L22"/>
    <mergeCell ref="K23:L23"/>
    <mergeCell ref="K63:L63"/>
    <mergeCell ref="K66:L66"/>
    <mergeCell ref="K47:L47"/>
    <mergeCell ref="K53:L53"/>
    <mergeCell ref="K41:L41"/>
    <mergeCell ref="K24:L24"/>
    <mergeCell ref="K25:L25"/>
    <mergeCell ref="K29:L29"/>
    <mergeCell ref="K35:L35"/>
    <mergeCell ref="K78:L78"/>
    <mergeCell ref="A60:B60"/>
    <mergeCell ref="C60:G60"/>
    <mergeCell ref="K76:L76"/>
    <mergeCell ref="I60:L60"/>
    <mergeCell ref="B9:K18"/>
    <mergeCell ref="B24:E24"/>
    <mergeCell ref="A58:L58"/>
    <mergeCell ref="A59:B59"/>
    <mergeCell ref="C59:J59"/>
    <mergeCell ref="K59:L59"/>
    <mergeCell ref="K20:L20"/>
    <mergeCell ref="K28:L28"/>
    <mergeCell ref="K30:L30"/>
  </mergeCells>
  <phoneticPr fontId="3"/>
  <conditionalFormatting sqref="I37">
    <cfRule type="cellIs" dxfId="12" priority="4" stopIfTrue="1" operator="greaterThan">
      <formula>0.1</formula>
    </cfRule>
  </conditionalFormatting>
  <conditionalFormatting sqref="I43">
    <cfRule type="cellIs" dxfId="11" priority="3" stopIfTrue="1" operator="greaterThan">
      <formula>0.1</formula>
    </cfRule>
  </conditionalFormatting>
  <conditionalFormatting sqref="I49">
    <cfRule type="cellIs" dxfId="10" priority="2" stopIfTrue="1" operator="greaterThan">
      <formula>0.1</formula>
    </cfRule>
  </conditionalFormatting>
  <conditionalFormatting sqref="I55">
    <cfRule type="cellIs" dxfId="9" priority="1" stopIfTrue="1" operator="greaterThan">
      <formula>0.1</formula>
    </cfRule>
  </conditionalFormatting>
  <dataValidations count="1">
    <dataValidation type="list" allowBlank="1" showInputMessage="1" showErrorMessage="1" sqref="H82">
      <formula1>"（選択）,湿　式,乾　式"</formula1>
    </dataValidation>
  </dataValidations>
  <pageMargins left="0.78740157480314965" right="0.51181102362204722" top="0.59055118110236227" bottom="0.59055118110236227" header="0.19685039370078741" footer="0.19685039370078741"/>
  <pageSetup paperSize="9" orientation="portrait" horizontalDpi="300" verticalDpi="300" r:id="rId1"/>
  <headerFooter alignWithMargins="0"/>
  <rowBreaks count="1" manualBreakCount="1">
    <brk id="56"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view="pageBreakPreview" zoomScaleNormal="100" zoomScaleSheetLayoutView="100" workbookViewId="0">
      <selection activeCell="B4" sqref="B4:J4"/>
    </sheetView>
  </sheetViews>
  <sheetFormatPr defaultRowHeight="13.5"/>
  <cols>
    <col min="1" max="1" width="7.375" style="1" customWidth="1"/>
    <col min="2" max="2" width="9.875" style="1" customWidth="1"/>
    <col min="3" max="5" width="7.5" style="1" customWidth="1"/>
    <col min="6" max="6" width="5.25" style="1" customWidth="1"/>
    <col min="7" max="7" width="3.125" style="1" customWidth="1"/>
    <col min="8" max="8" width="2.25" style="1" customWidth="1"/>
    <col min="9" max="12" width="7.5" style="1" customWidth="1"/>
    <col min="13" max="13" width="5.25" style="1" customWidth="1"/>
    <col min="14" max="15" width="2.125" style="1" customWidth="1"/>
    <col min="16" max="16" width="5.625" style="1" customWidth="1"/>
    <col min="17" max="19" width="9" style="1" customWidth="1"/>
    <col min="20" max="16384" width="9" style="1"/>
  </cols>
  <sheetData>
    <row r="1" spans="1:19" ht="14.25" thickBot="1">
      <c r="A1" s="304"/>
      <c r="B1" s="304"/>
      <c r="C1" s="304"/>
      <c r="D1" s="304"/>
      <c r="E1" s="304"/>
      <c r="F1" s="304"/>
      <c r="G1" s="304"/>
      <c r="H1" s="304"/>
      <c r="I1" s="304"/>
      <c r="J1" s="304"/>
      <c r="K1" s="304"/>
      <c r="L1" s="304"/>
      <c r="M1" s="304"/>
      <c r="N1" s="304"/>
      <c r="O1" s="304"/>
    </row>
    <row r="2" spans="1:19" s="2" customFormat="1" ht="18.75" customHeight="1" thickBot="1">
      <c r="A2" s="763" t="s">
        <v>196</v>
      </c>
      <c r="B2" s="764"/>
      <c r="C2" s="764"/>
      <c r="D2" s="764"/>
      <c r="E2" s="764"/>
      <c r="F2" s="764"/>
      <c r="G2" s="764"/>
      <c r="H2" s="764"/>
      <c r="I2" s="764"/>
      <c r="J2" s="764"/>
      <c r="K2" s="764"/>
      <c r="L2" s="764"/>
      <c r="M2" s="764"/>
      <c r="N2" s="764"/>
      <c r="O2" s="765"/>
    </row>
    <row r="3" spans="1:19" s="2" customFormat="1" ht="28.5" customHeight="1" thickTop="1">
      <c r="A3" s="3" t="s">
        <v>206</v>
      </c>
      <c r="B3" s="766" t="str">
        <f>+表紙!B3&amp;"　　（４．処理能力）"</f>
        <v>ラックコンベア洗浄機、フライトコンベア洗浄機、フラットコンベア洗浄機(選択してください)　　（４．処理能力）</v>
      </c>
      <c r="C3" s="767"/>
      <c r="D3" s="767"/>
      <c r="E3" s="767"/>
      <c r="F3" s="767"/>
      <c r="G3" s="767"/>
      <c r="H3" s="767"/>
      <c r="I3" s="767"/>
      <c r="J3" s="767"/>
      <c r="K3" s="767"/>
      <c r="L3" s="766" t="str">
        <f>"ガス種："&amp;表紙!K11</f>
        <v>ガス種：選択して下さい</v>
      </c>
      <c r="M3" s="767"/>
      <c r="N3" s="767"/>
      <c r="O3" s="768"/>
    </row>
    <row r="4" spans="1:19" s="2" customFormat="1" ht="18" customHeight="1" thickBot="1">
      <c r="A4" s="4" t="s">
        <v>282</v>
      </c>
      <c r="B4" s="770" t="str">
        <f>IF(表紙!$B$6=0,"",表紙!$B$6)</f>
        <v/>
      </c>
      <c r="C4" s="771"/>
      <c r="D4" s="771"/>
      <c r="E4" s="771"/>
      <c r="F4" s="771"/>
      <c r="G4" s="771"/>
      <c r="H4" s="771"/>
      <c r="I4" s="771"/>
      <c r="J4" s="784"/>
      <c r="K4" s="5" t="s">
        <v>1</v>
      </c>
      <c r="L4" s="770" t="str">
        <f>IF(表紙!$H$5=0,"",表紙!$H$5)</f>
        <v/>
      </c>
      <c r="M4" s="771"/>
      <c r="N4" s="771"/>
      <c r="O4" s="772"/>
    </row>
    <row r="5" spans="1:19" s="2" customFormat="1" ht="7.5" customHeight="1">
      <c r="A5" s="182"/>
      <c r="B5" s="212"/>
      <c r="C5" s="212"/>
      <c r="D5" s="212"/>
      <c r="E5" s="212"/>
      <c r="F5" s="212"/>
      <c r="G5" s="212"/>
      <c r="H5" s="212"/>
      <c r="I5" s="212"/>
      <c r="J5" s="212"/>
      <c r="K5" s="185"/>
      <c r="L5" s="212"/>
      <c r="M5" s="212"/>
      <c r="N5" s="212"/>
      <c r="O5" s="213"/>
    </row>
    <row r="6" spans="1:19" s="504" customFormat="1" ht="16.5" customHeight="1">
      <c r="A6" s="195"/>
      <c r="B6" s="842" t="s">
        <v>283</v>
      </c>
      <c r="C6" s="842"/>
      <c r="D6" s="842"/>
      <c r="E6" s="842"/>
      <c r="F6" s="842"/>
      <c r="G6" s="842"/>
      <c r="H6" s="842"/>
      <c r="I6" s="842"/>
      <c r="J6" s="842"/>
      <c r="K6" s="842"/>
      <c r="L6" s="842"/>
      <c r="M6" s="842"/>
      <c r="N6" s="451"/>
      <c r="O6" s="503"/>
    </row>
    <row r="7" spans="1:19" s="504" customFormat="1" ht="22.5" customHeight="1">
      <c r="A7" s="195"/>
      <c r="B7" s="842"/>
      <c r="C7" s="842"/>
      <c r="D7" s="842"/>
      <c r="E7" s="842"/>
      <c r="F7" s="842"/>
      <c r="G7" s="842"/>
      <c r="H7" s="842"/>
      <c r="I7" s="842"/>
      <c r="J7" s="842"/>
      <c r="K7" s="842"/>
      <c r="L7" s="842"/>
      <c r="M7" s="842"/>
      <c r="N7" s="234"/>
      <c r="O7" s="503"/>
    </row>
    <row r="8" spans="1:19" s="504" customFormat="1" ht="19.149999999999999" customHeight="1">
      <c r="A8" s="195"/>
      <c r="B8" s="205"/>
      <c r="C8" s="451"/>
      <c r="D8" s="451"/>
      <c r="E8" s="451"/>
      <c r="F8" s="451"/>
      <c r="G8" s="451"/>
      <c r="H8" s="451"/>
      <c r="I8" s="451"/>
      <c r="J8" s="234"/>
      <c r="K8" s="234"/>
      <c r="L8" s="234"/>
      <c r="M8" s="234"/>
      <c r="N8" s="234"/>
      <c r="O8" s="503"/>
    </row>
    <row r="9" spans="1:19" s="504" customFormat="1" ht="15" customHeight="1">
      <c r="A9" s="195"/>
      <c r="B9" s="505"/>
      <c r="C9" s="795" t="s">
        <v>519</v>
      </c>
      <c r="D9" s="795"/>
      <c r="E9" s="795"/>
      <c r="F9" s="795"/>
      <c r="G9" s="795"/>
      <c r="H9" s="795"/>
      <c r="I9" s="795"/>
      <c r="J9" s="795"/>
      <c r="K9" s="795"/>
      <c r="L9" s="795"/>
      <c r="M9" s="795"/>
      <c r="N9" s="139"/>
      <c r="O9" s="503"/>
    </row>
    <row r="10" spans="1:19" s="504" customFormat="1" ht="18.600000000000001" customHeight="1">
      <c r="A10" s="195"/>
      <c r="B10" s="505"/>
      <c r="C10" s="795"/>
      <c r="D10" s="795"/>
      <c r="E10" s="795"/>
      <c r="F10" s="795"/>
      <c r="G10" s="795"/>
      <c r="H10" s="795"/>
      <c r="I10" s="795"/>
      <c r="J10" s="795"/>
      <c r="K10" s="795"/>
      <c r="L10" s="795"/>
      <c r="M10" s="795"/>
      <c r="N10" s="139"/>
      <c r="O10" s="503"/>
    </row>
    <row r="11" spans="1:19" s="2" customFormat="1" ht="17.25" customHeight="1">
      <c r="A11" s="132"/>
      <c r="B11" s="795" t="s">
        <v>284</v>
      </c>
      <c r="C11" s="795"/>
      <c r="D11" s="795"/>
      <c r="E11" s="795"/>
      <c r="F11" s="795"/>
      <c r="G11" s="795"/>
      <c r="H11" s="795"/>
      <c r="I11" s="795"/>
      <c r="J11" s="795"/>
      <c r="K11" s="795"/>
      <c r="L11" s="795"/>
      <c r="M11" s="795"/>
      <c r="N11" s="146"/>
      <c r="O11" s="188"/>
      <c r="S11" s="506" t="s">
        <v>188</v>
      </c>
    </row>
    <row r="12" spans="1:19" s="2" customFormat="1" ht="17.25" customHeight="1">
      <c r="A12" s="132"/>
      <c r="B12" s="795"/>
      <c r="C12" s="795"/>
      <c r="D12" s="795"/>
      <c r="E12" s="795"/>
      <c r="F12" s="795"/>
      <c r="G12" s="795"/>
      <c r="H12" s="795"/>
      <c r="I12" s="795"/>
      <c r="J12" s="795"/>
      <c r="K12" s="795"/>
      <c r="L12" s="795"/>
      <c r="M12" s="795"/>
      <c r="N12" s="146"/>
      <c r="O12" s="188"/>
    </row>
    <row r="13" spans="1:19" s="2" customFormat="1" ht="17.25" customHeight="1">
      <c r="A13" s="132"/>
      <c r="B13" s="795"/>
      <c r="C13" s="795"/>
      <c r="D13" s="795"/>
      <c r="E13" s="795"/>
      <c r="F13" s="795"/>
      <c r="G13" s="795"/>
      <c r="H13" s="795"/>
      <c r="I13" s="795"/>
      <c r="J13" s="795"/>
      <c r="K13" s="795"/>
      <c r="L13" s="795"/>
      <c r="M13" s="795"/>
      <c r="N13" s="146"/>
      <c r="O13" s="188"/>
      <c r="Q13" s="1"/>
    </row>
    <row r="14" spans="1:19" s="2" customFormat="1" ht="17.25" customHeight="1">
      <c r="A14" s="132"/>
      <c r="B14" s="795"/>
      <c r="C14" s="795"/>
      <c r="D14" s="795"/>
      <c r="E14" s="795"/>
      <c r="F14" s="795"/>
      <c r="G14" s="795"/>
      <c r="H14" s="795"/>
      <c r="I14" s="795"/>
      <c r="J14" s="795"/>
      <c r="K14" s="795"/>
      <c r="L14" s="795"/>
      <c r="M14" s="795"/>
      <c r="N14" s="146"/>
      <c r="O14" s="188"/>
    </row>
    <row r="15" spans="1:19" s="2" customFormat="1" ht="31.15" customHeight="1">
      <c r="A15" s="132"/>
      <c r="B15" s="795"/>
      <c r="C15" s="795"/>
      <c r="D15" s="795"/>
      <c r="E15" s="795"/>
      <c r="F15" s="795"/>
      <c r="G15" s="795"/>
      <c r="H15" s="795"/>
      <c r="I15" s="795"/>
      <c r="J15" s="795"/>
      <c r="K15" s="795"/>
      <c r="L15" s="795"/>
      <c r="M15" s="795"/>
      <c r="N15" s="146"/>
      <c r="O15" s="188"/>
    </row>
    <row r="16" spans="1:19" s="2" customFormat="1" ht="17.25" customHeight="1">
      <c r="A16" s="132"/>
      <c r="B16" s="795" t="s">
        <v>285</v>
      </c>
      <c r="C16" s="795"/>
      <c r="D16" s="795"/>
      <c r="E16" s="795"/>
      <c r="F16" s="795"/>
      <c r="G16" s="795"/>
      <c r="H16" s="795"/>
      <c r="I16" s="795"/>
      <c r="J16" s="795"/>
      <c r="K16" s="795"/>
      <c r="L16" s="795"/>
      <c r="M16" s="795"/>
      <c r="N16" s="146"/>
      <c r="O16" s="188"/>
    </row>
    <row r="17" spans="1:18" s="2" customFormat="1" ht="17.25" customHeight="1">
      <c r="A17" s="132"/>
      <c r="B17" s="795"/>
      <c r="C17" s="795"/>
      <c r="D17" s="795"/>
      <c r="E17" s="795"/>
      <c r="F17" s="795"/>
      <c r="G17" s="795"/>
      <c r="H17" s="795"/>
      <c r="I17" s="795"/>
      <c r="J17" s="795"/>
      <c r="K17" s="795"/>
      <c r="L17" s="795"/>
      <c r="M17" s="795"/>
      <c r="N17" s="146"/>
      <c r="O17" s="188"/>
    </row>
    <row r="18" spans="1:18" s="2" customFormat="1" ht="17.25" customHeight="1">
      <c r="A18" s="132"/>
      <c r="B18" s="795"/>
      <c r="C18" s="795"/>
      <c r="D18" s="795"/>
      <c r="E18" s="795"/>
      <c r="F18" s="795"/>
      <c r="G18" s="795"/>
      <c r="H18" s="795"/>
      <c r="I18" s="795"/>
      <c r="J18" s="795"/>
      <c r="K18" s="795"/>
      <c r="L18" s="795"/>
      <c r="M18" s="795"/>
      <c r="N18" s="146"/>
      <c r="O18" s="188"/>
    </row>
    <row r="19" spans="1:18" s="2" customFormat="1" ht="17.25" customHeight="1">
      <c r="A19" s="132"/>
      <c r="B19" s="841" t="s">
        <v>286</v>
      </c>
      <c r="C19" s="841"/>
      <c r="D19" s="841"/>
      <c r="E19" s="841"/>
      <c r="F19" s="841"/>
      <c r="G19" s="841"/>
      <c r="H19" s="841"/>
      <c r="I19" s="841"/>
      <c r="J19" s="841"/>
      <c r="K19" s="841"/>
      <c r="L19" s="841"/>
      <c r="M19" s="841"/>
      <c r="N19" s="146"/>
      <c r="O19" s="188"/>
    </row>
    <row r="20" spans="1:18" s="2" customFormat="1" ht="17.25" customHeight="1">
      <c r="A20" s="132"/>
      <c r="B20" s="841"/>
      <c r="C20" s="841"/>
      <c r="D20" s="841"/>
      <c r="E20" s="841"/>
      <c r="F20" s="841"/>
      <c r="G20" s="841"/>
      <c r="H20" s="841"/>
      <c r="I20" s="841"/>
      <c r="J20" s="841"/>
      <c r="K20" s="841"/>
      <c r="L20" s="841"/>
      <c r="M20" s="841"/>
      <c r="N20" s="146"/>
      <c r="O20" s="188"/>
    </row>
    <row r="21" spans="1:18" s="2" customFormat="1" ht="15.75" customHeight="1">
      <c r="A21" s="132"/>
      <c r="B21" s="841"/>
      <c r="C21" s="841"/>
      <c r="D21" s="841"/>
      <c r="E21" s="841"/>
      <c r="F21" s="841"/>
      <c r="G21" s="841"/>
      <c r="H21" s="841"/>
      <c r="I21" s="841"/>
      <c r="J21" s="841"/>
      <c r="K21" s="841"/>
      <c r="L21" s="841"/>
      <c r="M21" s="841"/>
      <c r="N21" s="146"/>
      <c r="O21" s="188"/>
    </row>
    <row r="22" spans="1:18" s="2" customFormat="1" ht="17.25" customHeight="1">
      <c r="A22" s="132"/>
      <c r="B22" s="827" t="s">
        <v>100</v>
      </c>
      <c r="C22" s="828"/>
      <c r="D22" s="828"/>
      <c r="E22" s="828"/>
      <c r="F22" s="829"/>
      <c r="G22" s="133"/>
      <c r="H22" s="133"/>
      <c r="I22" s="836" t="s">
        <v>99</v>
      </c>
      <c r="J22" s="836"/>
      <c r="K22" s="836"/>
      <c r="L22" s="836"/>
      <c r="M22" s="836"/>
      <c r="N22" s="133"/>
      <c r="O22" s="134"/>
      <c r="Q22" s="2" t="str">
        <f>IF(表紙!C12="ラックコンベア型","○","")</f>
        <v/>
      </c>
    </row>
    <row r="23" spans="1:18" s="2" customFormat="1" ht="17.25" customHeight="1">
      <c r="A23" s="132"/>
      <c r="B23" s="839" t="s">
        <v>87</v>
      </c>
      <c r="C23" s="840"/>
      <c r="D23" s="840"/>
      <c r="E23" s="840"/>
      <c r="F23" s="206" t="str">
        <f>IF(+表紙!$C$12="専用食器籠",IF(+表紙!H12&lt;&gt;"",+表紙!H12,""),IF(+表紙!$B$3="ラックコンベア洗浄機",500,"-"))</f>
        <v>-</v>
      </c>
      <c r="G23" s="133"/>
      <c r="H23" s="133"/>
      <c r="I23" s="837" t="s">
        <v>60</v>
      </c>
      <c r="J23" s="838"/>
      <c r="K23" s="838"/>
      <c r="L23" s="838"/>
      <c r="M23" s="207" t="str">
        <f>IF(+表紙!$B$3="フライトコンベア洗浄機",IF(+表紙!H12&lt;&gt;"",+表紙!H12,""),"-")</f>
        <v>-</v>
      </c>
      <c r="N23" s="133"/>
      <c r="O23" s="134"/>
    </row>
    <row r="24" spans="1:18" s="2" customFormat="1" ht="17.25" customHeight="1">
      <c r="A24" s="132"/>
      <c r="B24" s="830" t="s">
        <v>63</v>
      </c>
      <c r="C24" s="831"/>
      <c r="D24" s="831"/>
      <c r="E24" s="831"/>
      <c r="F24" s="207" t="str">
        <f>IF(+表紙!$C$12="専用食器籠",IF(+表紙!K12&lt;&gt;"",+表紙!K12,""),IF(+表紙!$B$3="ラックコンベア洗浄機",16,"-"))</f>
        <v>-</v>
      </c>
      <c r="G24" s="133"/>
      <c r="H24" s="133"/>
      <c r="I24" s="830" t="s">
        <v>101</v>
      </c>
      <c r="J24" s="831"/>
      <c r="K24" s="831"/>
      <c r="L24" s="831"/>
      <c r="M24" s="207" t="str">
        <f>IF(+表紙!$B$3="フライトコンベア洗浄機",IF(+表紙!K12&lt;&gt;"",+表紙!K12,""),"-")</f>
        <v>-</v>
      </c>
      <c r="N24" s="133"/>
      <c r="O24" s="134"/>
      <c r="Q24" s="2" t="s">
        <v>201</v>
      </c>
    </row>
    <row r="25" spans="1:18" s="2" customFormat="1" ht="17.25" customHeight="1">
      <c r="A25" s="132"/>
      <c r="B25" s="830" t="s">
        <v>62</v>
      </c>
      <c r="C25" s="831"/>
      <c r="D25" s="831"/>
      <c r="E25" s="831"/>
      <c r="F25" s="207" t="str">
        <f>IF(+表紙!$C$12="専用食器籠",180,IF(+表紙!$B$3="ラックコンベア洗浄機",230,"-"))</f>
        <v>-</v>
      </c>
      <c r="G25" s="451"/>
      <c r="H25" s="133"/>
      <c r="I25" s="830" t="s">
        <v>62</v>
      </c>
      <c r="J25" s="831"/>
      <c r="K25" s="831"/>
      <c r="L25" s="831"/>
      <c r="M25" s="207" t="str">
        <f>IF(+表紙!$B$3="フライトコンベア洗浄機",230,"-")</f>
        <v>-</v>
      </c>
      <c r="N25" s="133"/>
      <c r="O25" s="134"/>
      <c r="Q25" s="108" t="str">
        <f>表紙!B3</f>
        <v>ラックコンベア洗浄機、フライトコンベア洗浄機、フラットコンベア洗浄機(選択してください)</v>
      </c>
      <c r="R25" s="507"/>
    </row>
    <row r="26" spans="1:18" s="2" customFormat="1" ht="17.25" customHeight="1">
      <c r="A26" s="132"/>
      <c r="B26" s="830" t="s">
        <v>287</v>
      </c>
      <c r="C26" s="831"/>
      <c r="D26" s="831"/>
      <c r="E26" s="831"/>
      <c r="F26" s="208" t="str">
        <f>IF($F$25="-","-",IF($F$25=180,0.14,0.42))</f>
        <v>-</v>
      </c>
      <c r="G26" s="451"/>
      <c r="H26" s="133"/>
      <c r="I26" s="830" t="s">
        <v>287</v>
      </c>
      <c r="J26" s="831"/>
      <c r="K26" s="831"/>
      <c r="L26" s="831"/>
      <c r="M26" s="208" t="str">
        <f>IF(+表紙!$B$3="フライトコンベア洗浄機",0.42,"-")</f>
        <v>-</v>
      </c>
      <c r="N26" s="133"/>
      <c r="O26" s="134"/>
    </row>
    <row r="27" spans="1:18" s="2" customFormat="1" ht="17.45" customHeight="1">
      <c r="A27" s="132"/>
      <c r="B27" s="832" t="s">
        <v>288</v>
      </c>
      <c r="C27" s="833"/>
      <c r="D27" s="833"/>
      <c r="E27" s="833"/>
      <c r="F27" s="209" t="str">
        <f>IF($F$25="-","-",IF($F$25=180,1.7,1))</f>
        <v>-</v>
      </c>
      <c r="G27" s="451"/>
      <c r="H27" s="133"/>
      <c r="I27" s="832" t="s">
        <v>288</v>
      </c>
      <c r="J27" s="833"/>
      <c r="K27" s="833"/>
      <c r="L27" s="833"/>
      <c r="M27" s="210" t="str">
        <f>IF(+表紙!$B$3="フライトコンベア洗浄機",1,"-")</f>
        <v>-</v>
      </c>
      <c r="N27" s="133"/>
      <c r="O27" s="134"/>
    </row>
    <row r="28" spans="1:18" s="2" customFormat="1" ht="3.75" customHeight="1">
      <c r="A28" s="132"/>
      <c r="B28" s="197"/>
      <c r="C28" s="197"/>
      <c r="D28" s="197"/>
      <c r="E28" s="197"/>
      <c r="F28" s="197"/>
      <c r="G28" s="451"/>
      <c r="H28" s="133"/>
      <c r="I28" s="133"/>
      <c r="J28" s="139"/>
      <c r="K28" s="133"/>
      <c r="L28" s="133"/>
      <c r="M28" s="133"/>
      <c r="N28" s="133"/>
      <c r="O28" s="134"/>
    </row>
    <row r="29" spans="1:18" s="2" customFormat="1" ht="17.25" customHeight="1">
      <c r="A29" s="132"/>
      <c r="B29" s="211" t="s">
        <v>289</v>
      </c>
      <c r="C29" s="197"/>
      <c r="D29" s="197"/>
      <c r="E29" s="197"/>
      <c r="F29" s="197"/>
      <c r="G29" s="144"/>
      <c r="H29" s="133"/>
      <c r="I29" s="211" t="s">
        <v>289</v>
      </c>
      <c r="J29" s="139"/>
      <c r="K29" s="133"/>
      <c r="L29" s="133"/>
      <c r="M29" s="133"/>
      <c r="N29" s="133"/>
      <c r="O29" s="134"/>
    </row>
    <row r="30" spans="1:18" s="2" customFormat="1" ht="17.25" customHeight="1">
      <c r="A30" s="132"/>
      <c r="B30" s="205"/>
      <c r="C30" s="192" t="s">
        <v>292</v>
      </c>
      <c r="D30" s="508" t="str">
        <f>IF(OR(+表紙!$B$3="ラックコンベア洗浄機",+表紙!$C$12="ﾗｯｸｺﾝﾍﾞｱ洗浄機（専用食器籠）"),IF(COUNT(F23,F24)=2,ROUND(1000/F23*F24,1),""),"-")</f>
        <v>-</v>
      </c>
      <c r="E30" s="167" t="s">
        <v>56</v>
      </c>
      <c r="F30" s="807" t="s">
        <v>16</v>
      </c>
      <c r="G30" s="807"/>
      <c r="H30" s="807"/>
      <c r="I30" s="197"/>
      <c r="J30" s="192" t="s">
        <v>292</v>
      </c>
      <c r="K30" s="508" t="str">
        <f>IF(+表紙!$B$3="フライトコンベア洗浄機",IF(COUNTBLANK(M23:M24)=0,ROUND(INT(M23/M25)/(M24/1000),1),""),"-")</f>
        <v>-</v>
      </c>
      <c r="L30" s="167" t="s">
        <v>56</v>
      </c>
      <c r="M30" s="807" t="s">
        <v>16</v>
      </c>
      <c r="N30" s="807"/>
      <c r="O30" s="808"/>
    </row>
    <row r="31" spans="1:18" s="2" customFormat="1" ht="17.25" customHeight="1">
      <c r="A31" s="132"/>
      <c r="B31" s="211" t="s">
        <v>290</v>
      </c>
      <c r="C31" s="197"/>
      <c r="D31" s="197"/>
      <c r="E31" s="197"/>
      <c r="F31" s="197"/>
      <c r="G31" s="451"/>
      <c r="H31" s="133"/>
      <c r="I31" s="211" t="s">
        <v>295</v>
      </c>
      <c r="J31" s="139"/>
      <c r="K31" s="133"/>
      <c r="L31" s="133"/>
      <c r="M31" s="133"/>
      <c r="N31" s="133"/>
      <c r="O31" s="134"/>
    </row>
    <row r="32" spans="1:18" s="2" customFormat="1" ht="17.25" customHeight="1">
      <c r="A32" s="132"/>
      <c r="B32" s="205"/>
      <c r="C32" s="192" t="s">
        <v>293</v>
      </c>
      <c r="D32" s="377" t="str">
        <f>IF(OR(+表紙!$B$3="ラックコンベア洗浄機",+表紙!$C$12="ﾗｯｸｺﾝﾍﾞｱ洗浄機（専用食器籠）"),IF(表紙!$C$13&lt;&gt;"",ROUND(表紙!$C$13,2),""),"-")</f>
        <v>-</v>
      </c>
      <c r="E32" s="167" t="s">
        <v>57</v>
      </c>
      <c r="F32" s="807" t="s">
        <v>14</v>
      </c>
      <c r="G32" s="807"/>
      <c r="H32" s="807"/>
      <c r="I32" s="205"/>
      <c r="J32" s="192" t="s">
        <v>293</v>
      </c>
      <c r="K32" s="377" t="str">
        <f>IF(+表紙!$B$3="フライトコンベア洗浄機",IF(表紙!$C$13&lt;&gt;"",ROUND(表紙!$C$13,2),""),"-")</f>
        <v>-</v>
      </c>
      <c r="L32" s="167" t="s">
        <v>57</v>
      </c>
      <c r="M32" s="807" t="s">
        <v>14</v>
      </c>
      <c r="N32" s="807"/>
      <c r="O32" s="808"/>
    </row>
    <row r="33" spans="1:15" s="2" customFormat="1" ht="17.25" customHeight="1" thickBot="1">
      <c r="A33" s="132"/>
      <c r="B33" s="211" t="s">
        <v>291</v>
      </c>
      <c r="C33" s="133"/>
      <c r="D33" s="133"/>
      <c r="E33" s="133"/>
      <c r="F33" s="133"/>
      <c r="G33" s="133"/>
      <c r="H33" s="133"/>
      <c r="I33" s="211" t="s">
        <v>291</v>
      </c>
      <c r="J33" s="139"/>
      <c r="K33" s="158"/>
      <c r="L33" s="451"/>
      <c r="M33" s="451"/>
      <c r="N33" s="139"/>
      <c r="O33" s="134"/>
    </row>
    <row r="34" spans="1:15" s="2" customFormat="1" ht="21" customHeight="1" thickBot="1">
      <c r="A34" s="132"/>
      <c r="B34" s="133"/>
      <c r="C34" s="246" t="s">
        <v>294</v>
      </c>
      <c r="D34" s="509" t="str">
        <f>IF(OR(+表紙!$B$3="ラックコンベア洗浄機",+表紙!$C$12="ﾗｯｸｺﾝﾍﾞｱ洗浄機（専用食器籠）"),IF(COUNT(D30,D32)=2,INT(60*D30*D32),""),"-")</f>
        <v>-</v>
      </c>
      <c r="E34" s="167" t="s">
        <v>37</v>
      </c>
      <c r="F34" s="798" t="s">
        <v>61</v>
      </c>
      <c r="G34" s="798"/>
      <c r="H34" s="462"/>
      <c r="I34" s="462"/>
      <c r="J34" s="246" t="s">
        <v>514</v>
      </c>
      <c r="K34" s="509" t="str">
        <f>IF(+表紙!$B$3="フライトコンベア洗浄機",IF(COUNT(K30,K32)=2,60*K30*K32,""),"-")</f>
        <v>-</v>
      </c>
      <c r="L34" s="167" t="s">
        <v>37</v>
      </c>
      <c r="M34" s="798" t="s">
        <v>61</v>
      </c>
      <c r="N34" s="798"/>
      <c r="O34" s="134"/>
    </row>
    <row r="35" spans="1:15" s="2" customFormat="1" ht="6" customHeight="1">
      <c r="A35" s="132"/>
      <c r="B35" s="197"/>
      <c r="C35" s="240"/>
      <c r="D35" s="510"/>
      <c r="E35" s="167"/>
      <c r="F35" s="454"/>
      <c r="G35" s="454"/>
      <c r="H35" s="462"/>
      <c r="I35" s="462"/>
      <c r="J35" s="240"/>
      <c r="K35" s="511"/>
      <c r="L35" s="167"/>
      <c r="M35" s="454"/>
      <c r="N35" s="454"/>
      <c r="O35" s="134"/>
    </row>
    <row r="36" spans="1:15" s="2" customFormat="1" ht="17.25" customHeight="1">
      <c r="A36" s="132"/>
      <c r="B36" s="834" t="s">
        <v>98</v>
      </c>
      <c r="C36" s="835"/>
      <c r="D36" s="835"/>
      <c r="E36" s="835"/>
      <c r="F36" s="835"/>
      <c r="G36" s="133"/>
      <c r="H36" s="133"/>
      <c r="I36" s="197"/>
      <c r="J36" s="197"/>
      <c r="K36" s="197"/>
      <c r="L36" s="197"/>
      <c r="M36" s="197"/>
      <c r="N36" s="197"/>
      <c r="O36" s="134"/>
    </row>
    <row r="37" spans="1:15" s="2" customFormat="1" ht="17.25" customHeight="1">
      <c r="A37" s="132"/>
      <c r="B37" s="837" t="s">
        <v>60</v>
      </c>
      <c r="C37" s="838"/>
      <c r="D37" s="838"/>
      <c r="E37" s="838"/>
      <c r="F37" s="207" t="str">
        <f>IF(+表紙!$B$3="フラットコンベア洗浄機",IF(+表紙!H12&lt;&gt;"",+表紙!H12,""),"-")</f>
        <v>-</v>
      </c>
      <c r="G37" s="133"/>
      <c r="H37" s="133"/>
      <c r="I37" s="197"/>
      <c r="J37" s="197"/>
      <c r="K37" s="197"/>
      <c r="L37" s="197"/>
      <c r="M37" s="197"/>
      <c r="N37" s="197"/>
      <c r="O37" s="134"/>
    </row>
    <row r="38" spans="1:15" s="2" customFormat="1" ht="15" customHeight="1">
      <c r="A38" s="132"/>
      <c r="B38" s="830" t="s">
        <v>62</v>
      </c>
      <c r="C38" s="831"/>
      <c r="D38" s="831"/>
      <c r="E38" s="831"/>
      <c r="F38" s="207" t="str">
        <f>IF(+表紙!$B$3="フラットコンベア洗浄機",180,"-")</f>
        <v>-</v>
      </c>
      <c r="G38" s="133"/>
      <c r="H38" s="133"/>
      <c r="I38" s="197"/>
      <c r="J38" s="197"/>
      <c r="K38" s="197"/>
      <c r="L38" s="197"/>
      <c r="M38" s="197"/>
      <c r="N38" s="197"/>
      <c r="O38" s="134"/>
    </row>
    <row r="39" spans="1:15" s="2" customFormat="1" ht="17.25" customHeight="1">
      <c r="A39" s="195"/>
      <c r="B39" s="830" t="s">
        <v>287</v>
      </c>
      <c r="C39" s="831"/>
      <c r="D39" s="831"/>
      <c r="E39" s="831"/>
      <c r="F39" s="208" t="str">
        <f>IF(+表紙!$B$3="フラットコンベア洗浄機",0.26,"-")</f>
        <v>-</v>
      </c>
      <c r="G39" s="133"/>
      <c r="H39" s="451"/>
      <c r="I39" s="197"/>
      <c r="J39" s="197"/>
      <c r="K39" s="197"/>
      <c r="L39" s="197"/>
      <c r="M39" s="197"/>
      <c r="N39" s="197"/>
      <c r="O39" s="134"/>
    </row>
    <row r="40" spans="1:15" s="2" customFormat="1" ht="17.25" customHeight="1">
      <c r="A40" s="195"/>
      <c r="B40" s="832" t="s">
        <v>288</v>
      </c>
      <c r="C40" s="833"/>
      <c r="D40" s="833"/>
      <c r="E40" s="833"/>
      <c r="F40" s="210" t="str">
        <f>IF(+表紙!$B$3="フラットコンベア洗浄機",1,"-")</f>
        <v>-</v>
      </c>
      <c r="G40" s="133"/>
      <c r="H40" s="451"/>
      <c r="I40" s="197"/>
      <c r="J40" s="197"/>
      <c r="K40" s="197"/>
      <c r="L40" s="197"/>
      <c r="M40" s="197"/>
      <c r="N40" s="197"/>
      <c r="O40" s="134"/>
    </row>
    <row r="41" spans="1:15" s="2" customFormat="1" ht="3.75" customHeight="1">
      <c r="A41" s="195"/>
      <c r="B41" s="197"/>
      <c r="C41" s="133"/>
      <c r="D41" s="133"/>
      <c r="E41" s="133"/>
      <c r="F41" s="133"/>
      <c r="G41" s="133"/>
      <c r="H41" s="451"/>
      <c r="I41" s="197"/>
      <c r="J41" s="197"/>
      <c r="K41" s="197"/>
      <c r="L41" s="197"/>
      <c r="M41" s="197"/>
      <c r="N41" s="197"/>
      <c r="O41" s="134"/>
    </row>
    <row r="42" spans="1:15" s="2" customFormat="1" ht="16.5" customHeight="1">
      <c r="A42" s="195"/>
      <c r="B42" s="211" t="s">
        <v>296</v>
      </c>
      <c r="C42" s="133"/>
      <c r="D42" s="133"/>
      <c r="E42" s="133"/>
      <c r="F42" s="133"/>
      <c r="G42" s="133"/>
      <c r="H42" s="144"/>
      <c r="I42" s="197"/>
      <c r="J42" s="197"/>
      <c r="K42" s="197"/>
      <c r="L42" s="197"/>
      <c r="M42" s="197"/>
      <c r="N42" s="197"/>
      <c r="O42" s="134"/>
    </row>
    <row r="43" spans="1:15" s="2" customFormat="1" ht="16.5" customHeight="1">
      <c r="A43" s="195"/>
      <c r="B43" s="205"/>
      <c r="C43" s="192" t="s">
        <v>292</v>
      </c>
      <c r="D43" s="508" t="str">
        <f>IF(+表紙!$B$3="フラットコンベア洗浄機",IF(F37&lt;&gt;"",ROUND((F37*1000*0.6)/((F38/2)^2*3.14),1),""),"-")</f>
        <v>-</v>
      </c>
      <c r="E43" s="167" t="s">
        <v>56</v>
      </c>
      <c r="F43" s="807" t="s">
        <v>16</v>
      </c>
      <c r="G43" s="807"/>
      <c r="H43" s="807"/>
      <c r="I43" s="197"/>
      <c r="J43" s="197"/>
      <c r="K43" s="197"/>
      <c r="L43" s="197"/>
      <c r="M43" s="197"/>
      <c r="N43" s="197"/>
      <c r="O43" s="134"/>
    </row>
    <row r="44" spans="1:15" s="2" customFormat="1" ht="16.5" customHeight="1">
      <c r="A44" s="195"/>
      <c r="B44" s="211" t="s">
        <v>297</v>
      </c>
      <c r="C44" s="133"/>
      <c r="D44" s="133"/>
      <c r="E44" s="133"/>
      <c r="F44" s="133"/>
      <c r="G44" s="133"/>
      <c r="H44" s="451"/>
      <c r="I44" s="197"/>
      <c r="J44" s="197"/>
      <c r="K44" s="197"/>
      <c r="L44" s="197"/>
      <c r="M44" s="197"/>
      <c r="N44" s="197"/>
      <c r="O44" s="134"/>
    </row>
    <row r="45" spans="1:15" ht="16.5" customHeight="1">
      <c r="A45" s="132"/>
      <c r="B45" s="205"/>
      <c r="C45" s="192" t="s">
        <v>293</v>
      </c>
      <c r="D45" s="377" t="str">
        <f>IF(+表紙!$B$3="フラットコンベア洗浄機",IF(表紙!$C$13&lt;&gt;"",ROUND(表紙!$C$13,2),""),"-")</f>
        <v>-</v>
      </c>
      <c r="E45" s="167" t="s">
        <v>57</v>
      </c>
      <c r="F45" s="807" t="s">
        <v>14</v>
      </c>
      <c r="G45" s="807"/>
      <c r="H45" s="807"/>
      <c r="I45" s="304"/>
      <c r="J45" s="304"/>
      <c r="K45" s="304"/>
      <c r="L45" s="304"/>
      <c r="M45" s="304"/>
      <c r="N45" s="304"/>
      <c r="O45" s="134"/>
    </row>
    <row r="46" spans="1:15" ht="17.25" customHeight="1" thickBot="1">
      <c r="A46" s="132"/>
      <c r="B46" s="211" t="s">
        <v>291</v>
      </c>
      <c r="C46" s="197"/>
      <c r="D46" s="197"/>
      <c r="E46" s="197"/>
      <c r="F46" s="197"/>
      <c r="G46" s="133"/>
      <c r="H46" s="133"/>
      <c r="I46" s="304"/>
      <c r="J46" s="304"/>
      <c r="K46" s="304"/>
      <c r="L46" s="304"/>
      <c r="M46" s="304"/>
      <c r="N46" s="304"/>
      <c r="O46" s="134"/>
    </row>
    <row r="47" spans="1:15" ht="19.899999999999999" customHeight="1" thickBot="1">
      <c r="A47" s="132"/>
      <c r="B47" s="197"/>
      <c r="C47" s="246" t="s">
        <v>294</v>
      </c>
      <c r="D47" s="512" t="str">
        <f>IF(+表紙!$B$3="フラットコンベア洗浄機",IF(COUNT(D43,D45)=2,60*D43*D45,""),"-")</f>
        <v>-</v>
      </c>
      <c r="E47" s="167" t="s">
        <v>37</v>
      </c>
      <c r="F47" s="798" t="s">
        <v>61</v>
      </c>
      <c r="G47" s="798"/>
      <c r="H47" s="462"/>
      <c r="I47" s="304"/>
      <c r="J47" s="304"/>
      <c r="K47" s="304"/>
      <c r="L47" s="304"/>
      <c r="M47" s="304"/>
      <c r="N47" s="304"/>
      <c r="O47" s="134"/>
    </row>
    <row r="48" spans="1:15" ht="10.15" customHeight="1" thickBot="1">
      <c r="A48" s="172"/>
      <c r="B48" s="153"/>
      <c r="C48" s="153"/>
      <c r="D48" s="153"/>
      <c r="E48" s="153"/>
      <c r="F48" s="153"/>
      <c r="G48" s="153"/>
      <c r="H48" s="153"/>
      <c r="I48" s="153"/>
      <c r="J48" s="153"/>
      <c r="K48" s="153"/>
      <c r="L48" s="153"/>
      <c r="M48" s="153"/>
      <c r="N48" s="153"/>
      <c r="O48" s="154"/>
    </row>
    <row r="49" spans="1:15" ht="7.15" customHeight="1">
      <c r="A49" s="7"/>
      <c r="B49" s="7"/>
      <c r="C49" s="7"/>
      <c r="D49" s="7"/>
      <c r="E49" s="7"/>
      <c r="F49" s="7"/>
      <c r="G49" s="7"/>
      <c r="H49" s="7"/>
      <c r="I49" s="7"/>
      <c r="J49" s="7"/>
      <c r="K49" s="7"/>
      <c r="L49" s="7"/>
      <c r="M49" s="7"/>
      <c r="N49" s="7"/>
      <c r="O49" s="7"/>
    </row>
    <row r="50" spans="1:15" ht="15" customHeight="1">
      <c r="A50" s="7"/>
      <c r="B50" s="7"/>
      <c r="C50" s="7"/>
      <c r="D50" s="7"/>
      <c r="E50" s="7"/>
      <c r="F50" s="7"/>
      <c r="G50" s="7"/>
      <c r="H50" s="7"/>
      <c r="I50" s="7"/>
      <c r="J50" s="7"/>
      <c r="K50" s="7"/>
      <c r="L50" s="7"/>
      <c r="M50" s="7"/>
      <c r="N50" s="7"/>
      <c r="O50" s="7"/>
    </row>
    <row r="51" spans="1:15" ht="8.4499999999999993" customHeight="1">
      <c r="A51" s="7"/>
      <c r="B51" s="7"/>
      <c r="C51" s="7"/>
      <c r="D51" s="7"/>
      <c r="E51" s="7"/>
      <c r="F51" s="7"/>
      <c r="G51" s="7"/>
      <c r="H51" s="7"/>
      <c r="I51" s="7"/>
      <c r="J51" s="7"/>
      <c r="K51" s="7"/>
      <c r="L51" s="7"/>
      <c r="M51" s="7"/>
      <c r="N51" s="7"/>
      <c r="O51" s="7"/>
    </row>
    <row r="52" spans="1:15" ht="15" customHeight="1"/>
    <row r="53" spans="1:15" ht="15" customHeight="1"/>
    <row r="54" spans="1:15" s="15" customFormat="1" ht="15" customHeight="1">
      <c r="A54" s="1"/>
      <c r="B54" s="1"/>
      <c r="C54" s="1"/>
      <c r="D54" s="1"/>
      <c r="E54" s="1"/>
      <c r="F54" s="1"/>
      <c r="G54" s="1"/>
      <c r="H54" s="1"/>
      <c r="I54" s="1"/>
      <c r="J54" s="1"/>
      <c r="K54" s="1"/>
      <c r="L54" s="1"/>
      <c r="M54" s="1"/>
      <c r="N54" s="1"/>
      <c r="O54" s="1"/>
    </row>
    <row r="55" spans="1:15" s="7" customFormat="1" ht="15" customHeight="1">
      <c r="A55" s="1"/>
      <c r="B55" s="1"/>
      <c r="C55" s="1"/>
      <c r="D55" s="1"/>
      <c r="E55" s="1"/>
      <c r="F55" s="1"/>
      <c r="G55" s="1"/>
      <c r="H55" s="1"/>
      <c r="I55" s="1"/>
      <c r="J55" s="1"/>
      <c r="K55" s="1"/>
      <c r="L55" s="1"/>
      <c r="M55" s="1"/>
      <c r="N55" s="1"/>
      <c r="O55" s="1"/>
    </row>
    <row r="56" spans="1:15" s="15" customFormat="1">
      <c r="A56" s="1"/>
      <c r="B56" s="1"/>
      <c r="C56" s="1"/>
      <c r="D56" s="1"/>
      <c r="E56" s="1"/>
      <c r="F56" s="1"/>
      <c r="G56" s="1"/>
      <c r="H56" s="1"/>
      <c r="I56" s="1"/>
      <c r="J56" s="1"/>
      <c r="K56" s="1"/>
      <c r="L56" s="1"/>
      <c r="M56" s="1"/>
      <c r="N56" s="1"/>
      <c r="O56" s="1"/>
    </row>
  </sheetData>
  <sheetProtection password="CC9A" sheet="1" objects="1" scenarios="1" formatCells="0" formatRows="0" insertRows="0" deleteRows="0"/>
  <mergeCells count="36">
    <mergeCell ref="B26:E26"/>
    <mergeCell ref="B25:E25"/>
    <mergeCell ref="B27:E27"/>
    <mergeCell ref="F45:H45"/>
    <mergeCell ref="B39:E39"/>
    <mergeCell ref="F43:H43"/>
    <mergeCell ref="M30:O30"/>
    <mergeCell ref="F30:H30"/>
    <mergeCell ref="F32:H32"/>
    <mergeCell ref="F47:G47"/>
    <mergeCell ref="F34:G34"/>
    <mergeCell ref="A2:O2"/>
    <mergeCell ref="B4:J4"/>
    <mergeCell ref="L4:O4"/>
    <mergeCell ref="B19:M21"/>
    <mergeCell ref="B6:M7"/>
    <mergeCell ref="C9:M10"/>
    <mergeCell ref="B3:K3"/>
    <mergeCell ref="L3:O3"/>
    <mergeCell ref="B16:M18"/>
    <mergeCell ref="B11:M15"/>
    <mergeCell ref="B22:F22"/>
    <mergeCell ref="B24:E24"/>
    <mergeCell ref="B40:E40"/>
    <mergeCell ref="I25:L25"/>
    <mergeCell ref="I26:L26"/>
    <mergeCell ref="B36:F36"/>
    <mergeCell ref="I22:M22"/>
    <mergeCell ref="I23:L23"/>
    <mergeCell ref="I27:L27"/>
    <mergeCell ref="M34:N34"/>
    <mergeCell ref="B38:E38"/>
    <mergeCell ref="I24:L24"/>
    <mergeCell ref="B37:E37"/>
    <mergeCell ref="B23:E23"/>
    <mergeCell ref="M32:O32"/>
  </mergeCells>
  <phoneticPr fontId="3"/>
  <pageMargins left="0.78740157480314965" right="0.51181102362204722" top="0.59055118110236227" bottom="0.59055118110236227" header="0.19685039370078741" footer="0.19685039370078741"/>
  <pageSetup paperSize="9" orientation="portrait" horizontalDpi="300" verticalDpi="300" r:id="rId1"/>
  <headerFooter alignWithMargins="0"/>
  <drawing r:id="rId2"/>
  <legacyDrawing r:id="rId3"/>
  <oleObjects>
    <mc:AlternateContent xmlns:mc="http://schemas.openxmlformats.org/markup-compatibility/2006">
      <mc:Choice Requires="x14">
        <oleObject progId="Excel.Sheet.12" shapeId="3073" r:id="rId4">
          <objectPr defaultSize="0" autoPict="0" r:id="rId5">
            <anchor moveWithCells="1" sizeWithCells="1">
              <from>
                <xdr:col>16</xdr:col>
                <xdr:colOff>0</xdr:colOff>
                <xdr:row>11</xdr:row>
                <xdr:rowOff>0</xdr:rowOff>
              </from>
              <to>
                <xdr:col>23</xdr:col>
                <xdr:colOff>19050</xdr:colOff>
                <xdr:row>15</xdr:row>
                <xdr:rowOff>180975</xdr:rowOff>
              </to>
            </anchor>
          </objectPr>
        </oleObject>
      </mc:Choice>
      <mc:Fallback>
        <oleObject progId="Excel.Sheet.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6"/>
  <sheetViews>
    <sheetView showGridLines="0" view="pageBreakPreview" zoomScaleNormal="70" zoomScaleSheetLayoutView="100" workbookViewId="0">
      <selection activeCell="C5" sqref="C5:D5"/>
    </sheetView>
  </sheetViews>
  <sheetFormatPr defaultColWidth="9" defaultRowHeight="13.5"/>
  <cols>
    <col min="1" max="1" width="6.5" style="1" customWidth="1"/>
    <col min="2" max="2" width="6.25" style="1" customWidth="1"/>
    <col min="3" max="3" width="9.875" style="1" customWidth="1"/>
    <col min="4" max="4" width="9.5" style="1" customWidth="1"/>
    <col min="5" max="5" width="10.5" style="1" customWidth="1"/>
    <col min="6" max="6" width="6.25" style="1" customWidth="1"/>
    <col min="7" max="7" width="3.875" style="1" customWidth="1"/>
    <col min="8" max="9" width="7.625" style="1" customWidth="1"/>
    <col min="10" max="10" width="5.375" style="1" customWidth="1"/>
    <col min="11" max="11" width="5" style="1" customWidth="1"/>
    <col min="12" max="12" width="9.5" style="1" customWidth="1"/>
    <col min="13" max="13" width="6.75" style="1" customWidth="1"/>
    <col min="14" max="14" width="21.5" style="1" customWidth="1"/>
    <col min="15" max="17" width="9" style="1" customWidth="1"/>
    <col min="18" max="18" width="7.25" style="1" customWidth="1"/>
    <col min="19" max="22" width="9" style="1" customWidth="1"/>
    <col min="23" max="16384" width="9" style="1"/>
  </cols>
  <sheetData>
    <row r="1" spans="1:16" ht="14.25" thickBot="1">
      <c r="A1" s="304"/>
      <c r="B1" s="304"/>
      <c r="C1" s="304"/>
      <c r="D1" s="304"/>
      <c r="E1" s="304"/>
      <c r="F1" s="304"/>
      <c r="G1" s="304"/>
      <c r="H1" s="304"/>
      <c r="I1" s="304"/>
      <c r="J1" s="304"/>
      <c r="K1" s="304"/>
      <c r="L1" s="304"/>
    </row>
    <row r="2" spans="1:16" s="2" customFormat="1" ht="18.75" customHeight="1" thickBot="1">
      <c r="A2" s="763" t="s">
        <v>196</v>
      </c>
      <c r="B2" s="764"/>
      <c r="C2" s="764"/>
      <c r="D2" s="764"/>
      <c r="E2" s="764"/>
      <c r="F2" s="764"/>
      <c r="G2" s="764"/>
      <c r="H2" s="764"/>
      <c r="I2" s="764"/>
      <c r="J2" s="764"/>
      <c r="K2" s="764"/>
      <c r="L2" s="765"/>
    </row>
    <row r="3" spans="1:16" s="2" customFormat="1" ht="28.5" customHeight="1" thickTop="1">
      <c r="A3" s="3" t="s">
        <v>206</v>
      </c>
      <c r="B3" s="766" t="str">
        <f>+表紙!$B$3&amp;"　　（５．エネルギー消費量）"</f>
        <v>ラックコンベア洗浄機、フライトコンベア洗浄機、フラットコンベア洗浄機(選択してください)　　（５．エネルギー消費量）</v>
      </c>
      <c r="C3" s="767"/>
      <c r="D3" s="767"/>
      <c r="E3" s="767"/>
      <c r="F3" s="767"/>
      <c r="G3" s="767"/>
      <c r="H3" s="767"/>
      <c r="I3" s="767"/>
      <c r="J3" s="767"/>
      <c r="K3" s="766" t="str">
        <f>"ガス種："&amp;表紙!$K$11</f>
        <v>ガス種：選択して下さい</v>
      </c>
      <c r="L3" s="768"/>
    </row>
    <row r="4" spans="1:16" s="2" customFormat="1" ht="18" customHeight="1" thickBot="1">
      <c r="A4" s="4" t="s">
        <v>282</v>
      </c>
      <c r="B4" s="770" t="str">
        <f>IF(表紙!$B$6=0,"",表紙!$B$6)</f>
        <v/>
      </c>
      <c r="C4" s="771"/>
      <c r="D4" s="771"/>
      <c r="E4" s="771"/>
      <c r="F4" s="771"/>
      <c r="G4" s="784"/>
      <c r="H4" s="5" t="s">
        <v>1</v>
      </c>
      <c r="I4" s="770" t="str">
        <f>IF(表紙!$H$5=0,"",表紙!$H$5)</f>
        <v/>
      </c>
      <c r="J4" s="771"/>
      <c r="K4" s="771"/>
      <c r="L4" s="772"/>
      <c r="M4" s="7"/>
      <c r="N4" s="7"/>
    </row>
    <row r="5" spans="1:16" s="2" customFormat="1" ht="15.75" customHeight="1">
      <c r="A5" s="340" t="s">
        <v>32</v>
      </c>
      <c r="B5" s="810" t="s">
        <v>33</v>
      </c>
      <c r="C5" s="809"/>
      <c r="D5" s="809"/>
      <c r="E5" s="823" t="s">
        <v>38</v>
      </c>
      <c r="F5" s="859"/>
      <c r="G5" s="860"/>
      <c r="H5" s="810" t="s">
        <v>28</v>
      </c>
      <c r="I5" s="859"/>
      <c r="J5" s="860"/>
      <c r="K5" s="816" t="s">
        <v>54</v>
      </c>
      <c r="L5" s="544"/>
    </row>
    <row r="6" spans="1:16" s="2" customFormat="1" ht="15.75" customHeight="1" thickBot="1">
      <c r="A6" s="341" t="s">
        <v>34</v>
      </c>
      <c r="B6" s="811"/>
      <c r="C6" s="818"/>
      <c r="D6" s="818"/>
      <c r="E6" s="825"/>
      <c r="F6" s="861"/>
      <c r="G6" s="862"/>
      <c r="H6" s="811"/>
      <c r="I6" s="861"/>
      <c r="J6" s="862"/>
      <c r="K6" s="817"/>
      <c r="L6" s="545"/>
    </row>
    <row r="7" spans="1:16" s="2" customFormat="1" ht="14.25" customHeight="1">
      <c r="A7" s="182"/>
      <c r="B7" s="185"/>
      <c r="C7" s="184"/>
      <c r="D7" s="184"/>
      <c r="E7" s="185"/>
      <c r="F7" s="185"/>
      <c r="G7" s="146"/>
      <c r="H7" s="186"/>
      <c r="I7" s="144"/>
      <c r="J7" s="186"/>
      <c r="K7" s="459"/>
      <c r="L7" s="187"/>
    </row>
    <row r="8" spans="1:16" s="2" customFormat="1" ht="21" customHeight="1">
      <c r="A8" s="182"/>
      <c r="B8" s="183" t="s">
        <v>75</v>
      </c>
      <c r="C8" s="133"/>
      <c r="D8" s="133"/>
      <c r="E8" s="133"/>
      <c r="F8" s="133"/>
      <c r="G8" s="133"/>
      <c r="H8" s="133"/>
      <c r="I8" s="212"/>
      <c r="J8" s="212"/>
      <c r="K8" s="212"/>
      <c r="L8" s="213"/>
      <c r="M8" s="7"/>
      <c r="N8" s="7"/>
    </row>
    <row r="9" spans="1:16" s="2" customFormat="1" ht="19.5" customHeight="1">
      <c r="A9" s="182"/>
      <c r="B9" s="136" t="s">
        <v>480</v>
      </c>
      <c r="C9" s="133"/>
      <c r="D9" s="133"/>
      <c r="E9" s="133"/>
      <c r="F9" s="133"/>
      <c r="G9" s="133"/>
      <c r="H9" s="133"/>
      <c r="I9" s="212"/>
      <c r="J9" s="212"/>
      <c r="K9" s="212"/>
      <c r="L9" s="213"/>
      <c r="M9" s="7"/>
      <c r="N9" s="7"/>
    </row>
    <row r="10" spans="1:16" s="2" customFormat="1" ht="15" customHeight="1">
      <c r="A10" s="182"/>
      <c r="B10" s="143"/>
      <c r="C10" s="133"/>
      <c r="D10" s="143"/>
      <c r="E10" s="133"/>
      <c r="F10" s="133"/>
      <c r="G10" s="133"/>
      <c r="H10" s="133"/>
      <c r="I10" s="212"/>
      <c r="J10" s="212"/>
      <c r="K10" s="212"/>
      <c r="L10" s="213"/>
      <c r="M10" s="7"/>
      <c r="N10" s="7"/>
    </row>
    <row r="11" spans="1:16" s="2" customFormat="1" ht="15" customHeight="1">
      <c r="A11" s="182"/>
      <c r="B11" s="334" t="s">
        <v>489</v>
      </c>
      <c r="C11" s="133"/>
      <c r="D11" s="133"/>
      <c r="E11" s="133"/>
      <c r="F11" s="133"/>
      <c r="G11" s="133"/>
      <c r="H11" s="133"/>
      <c r="I11" s="212"/>
      <c r="J11" s="212"/>
      <c r="K11" s="212"/>
      <c r="L11" s="213"/>
      <c r="M11" s="7"/>
      <c r="N11" s="7"/>
    </row>
    <row r="12" spans="1:16" s="2" customFormat="1" ht="15" customHeight="1">
      <c r="A12" s="182"/>
      <c r="B12" s="334"/>
      <c r="C12" s="133"/>
      <c r="D12" s="133"/>
      <c r="E12" s="133"/>
      <c r="F12" s="133"/>
      <c r="G12" s="133"/>
      <c r="H12" s="133"/>
      <c r="I12" s="212"/>
      <c r="J12" s="212"/>
      <c r="K12" s="212"/>
      <c r="L12" s="213"/>
      <c r="M12" s="7"/>
      <c r="N12" s="7"/>
    </row>
    <row r="13" spans="1:16" s="2" customFormat="1" ht="15" customHeight="1">
      <c r="A13" s="182"/>
      <c r="B13" s="334"/>
      <c r="C13" s="133"/>
      <c r="D13" s="133"/>
      <c r="E13" s="133"/>
      <c r="F13" s="133"/>
      <c r="G13" s="133"/>
      <c r="H13" s="133"/>
      <c r="I13" s="212"/>
      <c r="J13" s="212"/>
      <c r="K13" s="212"/>
      <c r="L13" s="213"/>
      <c r="M13" s="7"/>
      <c r="N13" s="92"/>
    </row>
    <row r="14" spans="1:16" s="2" customFormat="1" ht="15" customHeight="1">
      <c r="A14" s="182"/>
      <c r="B14" s="334" t="s">
        <v>490</v>
      </c>
      <c r="C14" s="133"/>
      <c r="D14" s="133"/>
      <c r="E14" s="133"/>
      <c r="F14" s="133"/>
      <c r="G14" s="133"/>
      <c r="H14" s="133"/>
      <c r="I14" s="212"/>
      <c r="J14" s="212"/>
      <c r="K14" s="212"/>
      <c r="L14" s="213"/>
      <c r="M14" s="7"/>
      <c r="N14" s="93"/>
      <c r="O14" s="73" t="s">
        <v>203</v>
      </c>
      <c r="P14" s="73" t="s">
        <v>202</v>
      </c>
    </row>
    <row r="15" spans="1:16" s="2" customFormat="1" ht="15" customHeight="1">
      <c r="A15" s="182"/>
      <c r="B15" s="334"/>
      <c r="C15" s="133"/>
      <c r="D15" s="133"/>
      <c r="E15" s="133"/>
      <c r="F15" s="133"/>
      <c r="G15" s="133"/>
      <c r="H15" s="133"/>
      <c r="I15" s="212"/>
      <c r="J15" s="212"/>
      <c r="K15" s="212"/>
      <c r="L15" s="213"/>
      <c r="M15" s="7"/>
      <c r="N15" s="7" t="str">
        <f>表紙!H11</f>
        <v>選択して下さい</v>
      </c>
      <c r="O15" s="109" t="s">
        <v>159</v>
      </c>
      <c r="P15" s="72" t="str">
        <f>表紙!O15</f>
        <v>選択して下さい</v>
      </c>
    </row>
    <row r="16" spans="1:16" s="2" customFormat="1" ht="15" customHeight="1">
      <c r="A16" s="182"/>
      <c r="B16" s="133"/>
      <c r="C16" s="133"/>
      <c r="D16" s="133"/>
      <c r="E16" s="133"/>
      <c r="F16" s="133"/>
      <c r="G16" s="133"/>
      <c r="H16" s="133"/>
      <c r="I16" s="212"/>
      <c r="J16" s="212"/>
      <c r="K16" s="212"/>
      <c r="L16" s="213"/>
      <c r="M16" s="7"/>
      <c r="N16" s="15"/>
      <c r="O16" s="107" t="s">
        <v>160</v>
      </c>
      <c r="P16" s="72" t="str">
        <f>表紙!O16</f>
        <v>選択して下さい</v>
      </c>
    </row>
    <row r="17" spans="1:18" s="2" customFormat="1" ht="15" customHeight="1">
      <c r="A17" s="182"/>
      <c r="B17" s="863" t="s">
        <v>298</v>
      </c>
      <c r="C17" s="863"/>
      <c r="D17" s="863"/>
      <c r="E17" s="863"/>
      <c r="F17" s="863"/>
      <c r="G17" s="863"/>
      <c r="H17" s="863"/>
      <c r="I17" s="863"/>
      <c r="J17" s="863"/>
      <c r="K17" s="863"/>
      <c r="L17" s="213"/>
      <c r="M17" s="7"/>
      <c r="N17" s="7"/>
      <c r="O17" s="109" t="s">
        <v>161</v>
      </c>
      <c r="P17" s="72" t="str">
        <f>表紙!O17</f>
        <v>選択して下さい</v>
      </c>
      <c r="Q17" s="854"/>
    </row>
    <row r="18" spans="1:18" s="2" customFormat="1" ht="15" customHeight="1">
      <c r="A18" s="182"/>
      <c r="B18" s="863"/>
      <c r="C18" s="863"/>
      <c r="D18" s="863"/>
      <c r="E18" s="863"/>
      <c r="F18" s="863"/>
      <c r="G18" s="863"/>
      <c r="H18" s="863"/>
      <c r="I18" s="863"/>
      <c r="J18" s="863"/>
      <c r="K18" s="863"/>
      <c r="L18" s="213"/>
      <c r="M18" s="7"/>
      <c r="N18" s="7"/>
      <c r="O18" s="109"/>
      <c r="P18" s="72"/>
      <c r="Q18" s="854"/>
    </row>
    <row r="19" spans="1:18" s="2" customFormat="1" ht="15" customHeight="1">
      <c r="A19" s="182"/>
      <c r="B19" s="863"/>
      <c r="C19" s="863"/>
      <c r="D19" s="863"/>
      <c r="E19" s="863"/>
      <c r="F19" s="863"/>
      <c r="G19" s="863"/>
      <c r="H19" s="863"/>
      <c r="I19" s="863"/>
      <c r="J19" s="863"/>
      <c r="K19" s="863"/>
      <c r="L19" s="213"/>
      <c r="M19" s="7"/>
      <c r="O19" s="109" t="s">
        <v>162</v>
      </c>
      <c r="P19" s="72" t="str">
        <f>表紙!O18</f>
        <v>選択して下さい</v>
      </c>
      <c r="Q19" s="854"/>
    </row>
    <row r="20" spans="1:18" s="2" customFormat="1" ht="15" customHeight="1" thickBot="1">
      <c r="A20" s="182"/>
      <c r="B20" s="133"/>
      <c r="C20" s="133"/>
      <c r="D20" s="133"/>
      <c r="E20" s="133"/>
      <c r="F20" s="133"/>
      <c r="G20" s="133"/>
      <c r="H20" s="144" t="s">
        <v>149</v>
      </c>
      <c r="I20" s="144" t="s">
        <v>150</v>
      </c>
      <c r="J20" s="212"/>
      <c r="K20" s="212"/>
      <c r="L20" s="213"/>
      <c r="M20" s="7"/>
      <c r="N20" s="2" t="s">
        <v>163</v>
      </c>
    </row>
    <row r="21" spans="1:18" s="2" customFormat="1" ht="18" customHeight="1" thickBot="1">
      <c r="A21" s="182"/>
      <c r="B21" s="334" t="s">
        <v>451</v>
      </c>
      <c r="C21" s="212"/>
      <c r="D21" s="212"/>
      <c r="E21" s="212"/>
      <c r="F21" s="212"/>
      <c r="G21" s="192" t="s">
        <v>460</v>
      </c>
      <c r="H21" s="378" t="str">
        <f>IF('3.立上り性能'!H25&lt;&gt;"",'3.立上り性能'!H25,"")</f>
        <v/>
      </c>
      <c r="I21" s="378" t="str">
        <f>IF('3.立上り性能'!I25&lt;&gt;"",'3.立上り性能'!I25,"")</f>
        <v/>
      </c>
      <c r="J21" s="466" t="s">
        <v>25</v>
      </c>
      <c r="K21" s="855" t="s">
        <v>16</v>
      </c>
      <c r="L21" s="856"/>
      <c r="M21" s="7"/>
      <c r="N21" s="78" t="s">
        <v>141</v>
      </c>
      <c r="O21" s="77">
        <f>IF(表紙!$H$11="給水接続",15,IF(表紙!$H$11="選択して下さい",0,60))</f>
        <v>0</v>
      </c>
    </row>
    <row r="22" spans="1:18" s="2" customFormat="1" ht="18" customHeight="1" thickBot="1">
      <c r="A22" s="182"/>
      <c r="B22" s="214" t="s">
        <v>462</v>
      </c>
      <c r="C22" s="133"/>
      <c r="D22" s="133"/>
      <c r="E22" s="133"/>
      <c r="F22" s="133"/>
      <c r="G22" s="192" t="s">
        <v>299</v>
      </c>
      <c r="H22" s="378" t="str">
        <f>IF('3.立上り性能'!H24&lt;&gt;"",'3.立上り性能'!H24,"")</f>
        <v/>
      </c>
      <c r="I22" s="378" t="str">
        <f>IF('3.立上り性能'!I24&lt;&gt;"",'3.立上り性能'!I24,"")</f>
        <v/>
      </c>
      <c r="J22" s="466" t="s">
        <v>25</v>
      </c>
      <c r="K22" s="855" t="s">
        <v>16</v>
      </c>
      <c r="L22" s="856"/>
      <c r="M22" s="7"/>
      <c r="N22" s="7" t="s">
        <v>156</v>
      </c>
      <c r="P22" s="84" t="s">
        <v>148</v>
      </c>
      <c r="Q22" s="85" t="s">
        <v>157</v>
      </c>
      <c r="R22" s="89" t="s">
        <v>164</v>
      </c>
    </row>
    <row r="23" spans="1:18" s="2" customFormat="1" ht="15" customHeight="1">
      <c r="A23" s="182"/>
      <c r="B23" s="451" t="s">
        <v>151</v>
      </c>
      <c r="C23" s="215"/>
      <c r="D23" s="215"/>
      <c r="E23" s="215"/>
      <c r="F23" s="215"/>
      <c r="G23" s="216"/>
      <c r="H23" s="215"/>
      <c r="I23" s="217"/>
      <c r="J23" s="466"/>
      <c r="K23" s="466"/>
      <c r="L23" s="467"/>
      <c r="M23" s="7"/>
      <c r="N23" s="64" t="s">
        <v>135</v>
      </c>
      <c r="O23" s="79">
        <f>表紙!$F$15</f>
        <v>0</v>
      </c>
      <c r="P23" s="83">
        <f>IF(表紙!$H$11="給水接続",1,0)</f>
        <v>0</v>
      </c>
      <c r="Q23" s="86">
        <f>IF(表紙!$F$16="ガス",1,0)</f>
        <v>0</v>
      </c>
      <c r="R23" s="76">
        <f>O23*P23*Q23</f>
        <v>0</v>
      </c>
    </row>
    <row r="24" spans="1:18" s="2" customFormat="1" ht="17.25" customHeight="1">
      <c r="A24" s="182"/>
      <c r="B24" s="334" t="s">
        <v>300</v>
      </c>
      <c r="C24" s="190"/>
      <c r="D24" s="190"/>
      <c r="E24" s="190"/>
      <c r="F24" s="190"/>
      <c r="G24" s="192" t="s">
        <v>302</v>
      </c>
      <c r="H24" s="551"/>
      <c r="I24" s="552"/>
      <c r="J24" s="466" t="s">
        <v>25</v>
      </c>
      <c r="K24" s="855" t="s">
        <v>16</v>
      </c>
      <c r="L24" s="856"/>
      <c r="M24" s="7"/>
      <c r="N24" s="67" t="s">
        <v>136</v>
      </c>
      <c r="O24" s="80">
        <f>表紙!$F$17</f>
        <v>0</v>
      </c>
      <c r="P24" s="82">
        <f>IF(表紙!$H$11="給水接続",1,0)</f>
        <v>0</v>
      </c>
      <c r="Q24" s="87">
        <f>IF(表紙!$F$18="ガス",1,0)</f>
        <v>0</v>
      </c>
      <c r="R24" s="74">
        <f>O24*Q24</f>
        <v>0</v>
      </c>
    </row>
    <row r="25" spans="1:18" s="2" customFormat="1" ht="17.25" customHeight="1">
      <c r="A25" s="182"/>
      <c r="B25" s="334" t="s">
        <v>308</v>
      </c>
      <c r="C25" s="190"/>
      <c r="D25" s="190"/>
      <c r="E25" s="190"/>
      <c r="F25" s="133"/>
      <c r="G25" s="192" t="s">
        <v>301</v>
      </c>
      <c r="H25" s="551"/>
      <c r="I25" s="552"/>
      <c r="J25" s="466" t="s">
        <v>25</v>
      </c>
      <c r="K25" s="855" t="s">
        <v>16</v>
      </c>
      <c r="L25" s="856"/>
      <c r="M25" s="7"/>
      <c r="N25" s="67" t="s">
        <v>137</v>
      </c>
      <c r="O25" s="80">
        <f>表紙!$J$15</f>
        <v>0</v>
      </c>
      <c r="P25" s="82">
        <f>IF(表紙!$H$11="給水接続",1,0)</f>
        <v>0</v>
      </c>
      <c r="Q25" s="87">
        <f>IF(表紙!$J$16="ガス",1,0)</f>
        <v>0</v>
      </c>
      <c r="R25" s="74">
        <f>O25*Q25</f>
        <v>0</v>
      </c>
    </row>
    <row r="26" spans="1:18" s="2" customFormat="1" ht="17.25" customHeight="1" thickBot="1">
      <c r="A26" s="182"/>
      <c r="B26" s="334" t="s">
        <v>309</v>
      </c>
      <c r="C26" s="190"/>
      <c r="D26" s="190"/>
      <c r="E26" s="190"/>
      <c r="F26" s="190"/>
      <c r="G26" s="192" t="s">
        <v>303</v>
      </c>
      <c r="H26" s="551"/>
      <c r="I26" s="552"/>
      <c r="J26" s="466" t="s">
        <v>25</v>
      </c>
      <c r="K26" s="855" t="s">
        <v>16</v>
      </c>
      <c r="L26" s="856"/>
      <c r="M26" s="7"/>
      <c r="N26" s="69" t="s">
        <v>138</v>
      </c>
      <c r="O26" s="81">
        <f>表紙!$J$17</f>
        <v>0</v>
      </c>
      <c r="P26" s="61">
        <f>IF(表紙!$H$11="給水接続",1,0)</f>
        <v>0</v>
      </c>
      <c r="Q26" s="88">
        <f>IF(表紙!$J$18="ガス",1,0)</f>
        <v>0</v>
      </c>
      <c r="R26" s="75">
        <f>O26*Q26</f>
        <v>0</v>
      </c>
    </row>
    <row r="27" spans="1:18" s="2" customFormat="1" ht="17.25" customHeight="1">
      <c r="A27" s="182"/>
      <c r="B27" s="334" t="s">
        <v>310</v>
      </c>
      <c r="C27" s="190"/>
      <c r="D27" s="190"/>
      <c r="E27" s="190"/>
      <c r="F27" s="190"/>
      <c r="G27" s="192" t="s">
        <v>304</v>
      </c>
      <c r="H27" s="551"/>
      <c r="I27" s="552"/>
      <c r="J27" s="466" t="s">
        <v>25</v>
      </c>
      <c r="K27" s="855" t="s">
        <v>16</v>
      </c>
      <c r="L27" s="856"/>
      <c r="M27" s="7"/>
      <c r="N27" s="7"/>
    </row>
    <row r="28" spans="1:18" s="2" customFormat="1" ht="17.25" customHeight="1">
      <c r="A28" s="182"/>
      <c r="B28" s="214" t="s">
        <v>311</v>
      </c>
      <c r="C28" s="215"/>
      <c r="D28" s="215"/>
      <c r="E28" s="215"/>
      <c r="F28" s="215"/>
      <c r="G28" s="215"/>
      <c r="H28" s="220" t="s">
        <v>305</v>
      </c>
      <c r="I28" s="379" t="str">
        <f>IF($O$23&lt;&gt;0,$O$23,"")</f>
        <v/>
      </c>
      <c r="J28" s="466" t="s">
        <v>13</v>
      </c>
      <c r="K28" s="857" t="s">
        <v>61</v>
      </c>
      <c r="L28" s="858"/>
      <c r="M28" s="7"/>
      <c r="N28" s="7"/>
      <c r="O28" s="105" t="str">
        <f>IF($O$21=60,"給湯接続エネ",IF($O$21=15,"給水接続エネ","空接続エネ"))</f>
        <v>空接続エネ</v>
      </c>
    </row>
    <row r="29" spans="1:18" s="2" customFormat="1" ht="17.25" customHeight="1">
      <c r="A29" s="182"/>
      <c r="B29" s="214" t="s">
        <v>312</v>
      </c>
      <c r="C29" s="215"/>
      <c r="D29" s="215"/>
      <c r="E29" s="215"/>
      <c r="F29" s="215"/>
      <c r="G29" s="215"/>
      <c r="H29" s="220" t="s">
        <v>439</v>
      </c>
      <c r="I29" s="379" t="str">
        <f>IF($O$24&lt;&gt;0,$O$24,"")</f>
        <v/>
      </c>
      <c r="J29" s="466" t="s">
        <v>13</v>
      </c>
      <c r="K29" s="857" t="s">
        <v>61</v>
      </c>
      <c r="L29" s="858"/>
      <c r="M29" s="7"/>
      <c r="N29" s="7"/>
    </row>
    <row r="30" spans="1:18" s="2" customFormat="1" ht="17.25" customHeight="1">
      <c r="A30" s="182"/>
      <c r="B30" s="214" t="s">
        <v>208</v>
      </c>
      <c r="C30" s="133"/>
      <c r="D30" s="133"/>
      <c r="E30" s="133"/>
      <c r="F30" s="133"/>
      <c r="G30" s="133"/>
      <c r="H30" s="220" t="s">
        <v>306</v>
      </c>
      <c r="I30" s="379" t="str">
        <f>IF($O$25&lt;&gt;0,$O$25,"")</f>
        <v/>
      </c>
      <c r="J30" s="466" t="s">
        <v>13</v>
      </c>
      <c r="K30" s="857" t="s">
        <v>61</v>
      </c>
      <c r="L30" s="858"/>
      <c r="M30" s="7"/>
      <c r="N30" s="7"/>
    </row>
    <row r="31" spans="1:18" s="2" customFormat="1" ht="17.25" customHeight="1">
      <c r="A31" s="182"/>
      <c r="B31" s="214" t="s">
        <v>313</v>
      </c>
      <c r="C31" s="215"/>
      <c r="D31" s="215"/>
      <c r="E31" s="215"/>
      <c r="F31" s="215"/>
      <c r="G31" s="215"/>
      <c r="H31" s="220" t="s">
        <v>307</v>
      </c>
      <c r="I31" s="379" t="str">
        <f>IF($O$26&lt;&gt;0,$O$26,"")</f>
        <v/>
      </c>
      <c r="J31" s="466" t="s">
        <v>13</v>
      </c>
      <c r="K31" s="857" t="s">
        <v>61</v>
      </c>
      <c r="L31" s="858"/>
      <c r="M31" s="7"/>
      <c r="N31" s="7"/>
    </row>
    <row r="32" spans="1:18" s="2" customFormat="1" ht="19.5" customHeight="1">
      <c r="A32" s="182"/>
      <c r="B32" s="451" t="s">
        <v>527</v>
      </c>
      <c r="C32" s="133"/>
      <c r="D32" s="451"/>
      <c r="E32" s="451"/>
      <c r="F32" s="451"/>
      <c r="G32" s="451"/>
      <c r="H32" s="192" t="s">
        <v>528</v>
      </c>
      <c r="I32" s="369">
        <v>4.1900000000000004</v>
      </c>
      <c r="J32" s="193" t="s">
        <v>526</v>
      </c>
      <c r="K32" s="133"/>
      <c r="L32" s="134"/>
      <c r="M32" s="7"/>
      <c r="N32" s="7"/>
    </row>
    <row r="33" spans="1:14" s="2" customFormat="1" ht="5.25" customHeight="1">
      <c r="A33" s="182"/>
      <c r="B33" s="133"/>
      <c r="C33" s="133"/>
      <c r="D33" s="133"/>
      <c r="E33" s="133"/>
      <c r="F33" s="133"/>
      <c r="G33" s="133"/>
      <c r="H33" s="133"/>
      <c r="I33" s="133"/>
      <c r="J33" s="466"/>
      <c r="K33" s="133"/>
      <c r="L33" s="213"/>
      <c r="M33" s="7"/>
      <c r="N33" s="7"/>
    </row>
    <row r="34" spans="1:14" s="2" customFormat="1" ht="18" customHeight="1">
      <c r="A34" s="182"/>
      <c r="B34" s="133" t="s">
        <v>314</v>
      </c>
      <c r="C34" s="133"/>
      <c r="D34" s="133"/>
      <c r="E34" s="133"/>
      <c r="F34" s="133"/>
      <c r="G34" s="192" t="s">
        <v>316</v>
      </c>
      <c r="H34" s="405" t="str">
        <f>IF(+'3.立上り性能'!H88&lt;&gt;"",+'3.立上り性能'!H88,"")</f>
        <v/>
      </c>
      <c r="I34" s="405" t="str">
        <f>IF(+'3.立上り性能'!I88&lt;&gt;"",+'3.立上り性能'!I88,"")</f>
        <v/>
      </c>
      <c r="J34" s="466" t="s">
        <v>70</v>
      </c>
      <c r="K34" s="855" t="s">
        <v>39</v>
      </c>
      <c r="L34" s="856"/>
      <c r="M34" s="7"/>
      <c r="N34" s="7"/>
    </row>
    <row r="35" spans="1:14" s="2" customFormat="1" ht="5.25" customHeight="1" thickBot="1">
      <c r="A35" s="182"/>
      <c r="B35" s="133"/>
      <c r="C35" s="133"/>
      <c r="D35" s="133"/>
      <c r="E35" s="133"/>
      <c r="F35" s="133"/>
      <c r="G35" s="218"/>
      <c r="H35" s="7"/>
      <c r="I35" s="16"/>
      <c r="J35" s="431"/>
      <c r="K35" s="212"/>
      <c r="L35" s="213"/>
      <c r="M35" s="7"/>
      <c r="N35" s="7"/>
    </row>
    <row r="36" spans="1:14" s="2" customFormat="1" ht="20.25" customHeight="1" thickBot="1">
      <c r="A36" s="182"/>
      <c r="B36" s="451" t="s">
        <v>315</v>
      </c>
      <c r="C36" s="451"/>
      <c r="D36" s="451"/>
      <c r="E36" s="451"/>
      <c r="F36" s="334"/>
      <c r="G36" s="192" t="s">
        <v>317</v>
      </c>
      <c r="H36" s="380" t="str">
        <f>IF(H34="","",(H34+H34*((H21-$O$21)*R23+(H21-$O$21)*R24+(H21-$O$21)*R25+((H22-20)*R26))/((H24-H21)*R23+(H25-H21)*R24+(H26-H21)*R25+(H27-H22)*R26)))</f>
        <v/>
      </c>
      <c r="I36" s="380" t="str">
        <f>IF(I34="","",(I34+I34*((I21-$O$21)*R23+(I21-$O$21)*R24+(I21-$O$21)*R25+((I22-20)*R26))/((I24-I21)*R23+(I25-I21)*R24+(I26-I21)*R25+(I27-I22)*R26)))</f>
        <v/>
      </c>
      <c r="J36" s="466" t="s">
        <v>70</v>
      </c>
      <c r="K36" s="855" t="s">
        <v>39</v>
      </c>
      <c r="L36" s="856"/>
      <c r="M36" s="7"/>
    </row>
    <row r="37" spans="1:14" s="2" customFormat="1" ht="6" customHeight="1" thickBot="1">
      <c r="A37" s="182"/>
      <c r="B37" s="133"/>
      <c r="C37" s="451"/>
      <c r="D37" s="133"/>
      <c r="E37" s="133"/>
      <c r="F37" s="133"/>
      <c r="G37" s="204"/>
      <c r="H37" s="221"/>
      <c r="I37" s="90"/>
      <c r="J37" s="466"/>
      <c r="K37" s="203"/>
      <c r="L37" s="134"/>
      <c r="M37" s="7"/>
    </row>
    <row r="38" spans="1:14" s="2" customFormat="1" ht="23.25" customHeight="1" thickBot="1">
      <c r="A38" s="182"/>
      <c r="B38" s="133"/>
      <c r="C38" s="451"/>
      <c r="D38" s="133"/>
      <c r="E38" s="133"/>
      <c r="F38" s="133"/>
      <c r="G38" s="133"/>
      <c r="H38" s="222" t="s">
        <v>318</v>
      </c>
      <c r="I38" s="406" t="str">
        <f>IF(COUNT(H36:I36)=2,(H36+I36)/2,"")</f>
        <v/>
      </c>
      <c r="J38" s="466" t="s">
        <v>70</v>
      </c>
      <c r="K38" s="855" t="s">
        <v>39</v>
      </c>
      <c r="L38" s="856"/>
      <c r="M38" s="7"/>
    </row>
    <row r="39" spans="1:14" s="2" customFormat="1" ht="3.75" customHeight="1" thickBot="1">
      <c r="A39" s="182"/>
      <c r="B39" s="133"/>
      <c r="C39" s="451"/>
      <c r="D39" s="133"/>
      <c r="E39" s="133"/>
      <c r="F39" s="133"/>
      <c r="G39" s="133"/>
      <c r="H39" s="204"/>
      <c r="I39" s="91"/>
      <c r="J39" s="466"/>
      <c r="K39" s="203"/>
      <c r="L39" s="134"/>
      <c r="M39" s="7"/>
    </row>
    <row r="40" spans="1:14" s="2" customFormat="1" ht="18.75" customHeight="1" thickBot="1">
      <c r="A40" s="182"/>
      <c r="B40" s="133"/>
      <c r="C40" s="219"/>
      <c r="D40" s="219"/>
      <c r="E40" s="219"/>
      <c r="F40" s="219"/>
      <c r="G40" s="158"/>
      <c r="H40" s="158" t="s">
        <v>58</v>
      </c>
      <c r="I40" s="381" t="str">
        <f>IF(I38&lt;&gt;"",ABS(H36-I36)/I38,"")</f>
        <v/>
      </c>
      <c r="J40" s="466"/>
      <c r="K40" s="855"/>
      <c r="L40" s="856"/>
      <c r="M40" s="7"/>
    </row>
    <row r="41" spans="1:14" s="2" customFormat="1" ht="15" customHeight="1">
      <c r="A41" s="182"/>
      <c r="B41" s="133"/>
      <c r="C41" s="219"/>
      <c r="D41" s="219"/>
      <c r="E41" s="219"/>
      <c r="F41" s="219"/>
      <c r="G41" s="158"/>
      <c r="H41" s="158"/>
      <c r="I41" s="470"/>
      <c r="J41" s="466"/>
      <c r="K41" s="466"/>
      <c r="L41" s="467"/>
      <c r="M41" s="7"/>
    </row>
    <row r="42" spans="1:14" s="2" customFormat="1" ht="18.75" customHeight="1">
      <c r="A42" s="182"/>
      <c r="B42" s="133"/>
      <c r="C42" s="219"/>
      <c r="D42" s="219"/>
      <c r="E42" s="219"/>
      <c r="F42" s="219"/>
      <c r="G42" s="158"/>
      <c r="H42" s="158"/>
      <c r="I42" s="470"/>
      <c r="J42" s="466"/>
      <c r="K42" s="466"/>
      <c r="L42" s="467"/>
      <c r="M42" s="7"/>
    </row>
    <row r="43" spans="1:14" s="2" customFormat="1" ht="15" customHeight="1">
      <c r="A43" s="182"/>
      <c r="B43" s="133"/>
      <c r="C43" s="219"/>
      <c r="D43" s="219"/>
      <c r="E43" s="219"/>
      <c r="F43" s="219"/>
      <c r="G43" s="158"/>
      <c r="H43" s="158"/>
      <c r="I43" s="470"/>
      <c r="J43" s="466"/>
      <c r="K43" s="466"/>
      <c r="L43" s="467"/>
      <c r="M43" s="7"/>
    </row>
    <row r="44" spans="1:14" s="2" customFormat="1" ht="15" customHeight="1">
      <c r="A44" s="182"/>
      <c r="B44" s="133"/>
      <c r="C44" s="219"/>
      <c r="D44" s="219"/>
      <c r="E44" s="219"/>
      <c r="F44" s="219"/>
      <c r="G44" s="158"/>
      <c r="H44" s="158"/>
      <c r="I44" s="470"/>
      <c r="J44" s="466"/>
      <c r="K44" s="466"/>
      <c r="L44" s="467"/>
      <c r="M44" s="7"/>
    </row>
    <row r="45" spans="1:14" s="2" customFormat="1" ht="15" customHeight="1">
      <c r="A45" s="182"/>
      <c r="B45" s="133"/>
      <c r="C45" s="219"/>
      <c r="D45" s="219"/>
      <c r="E45" s="219"/>
      <c r="F45" s="219"/>
      <c r="G45" s="158"/>
      <c r="H45" s="158"/>
      <c r="I45" s="470"/>
      <c r="J45" s="466"/>
      <c r="K45" s="466"/>
      <c r="L45" s="467"/>
      <c r="M45" s="7"/>
    </row>
    <row r="46" spans="1:14" s="2" customFormat="1" ht="15" customHeight="1">
      <c r="A46" s="182"/>
      <c r="B46" s="133"/>
      <c r="C46" s="219"/>
      <c r="D46" s="219"/>
      <c r="E46" s="219"/>
      <c r="F46" s="219"/>
      <c r="G46" s="158"/>
      <c r="H46" s="158"/>
      <c r="I46" s="470"/>
      <c r="J46" s="466"/>
      <c r="K46" s="466"/>
      <c r="L46" s="467"/>
      <c r="M46" s="7"/>
    </row>
    <row r="47" spans="1:14" s="2" customFormat="1" ht="15" customHeight="1">
      <c r="A47" s="182"/>
      <c r="B47" s="133"/>
      <c r="C47" s="219"/>
      <c r="D47" s="219"/>
      <c r="E47" s="219"/>
      <c r="F47" s="219"/>
      <c r="G47" s="158"/>
      <c r="H47" s="158"/>
      <c r="I47" s="470"/>
      <c r="J47" s="466"/>
      <c r="K47" s="466"/>
      <c r="L47" s="467"/>
      <c r="M47" s="7"/>
    </row>
    <row r="48" spans="1:14" s="2" customFormat="1" ht="15" customHeight="1">
      <c r="A48" s="182"/>
      <c r="B48" s="133"/>
      <c r="C48" s="219"/>
      <c r="D48" s="219"/>
      <c r="E48" s="219"/>
      <c r="F48" s="219"/>
      <c r="G48" s="158"/>
      <c r="H48" s="158"/>
      <c r="I48" s="470"/>
      <c r="J48" s="466"/>
      <c r="K48" s="466"/>
      <c r="L48" s="467"/>
      <c r="M48" s="7"/>
    </row>
    <row r="49" spans="1:18" s="2" customFormat="1" ht="15" customHeight="1">
      <c r="A49" s="182"/>
      <c r="B49" s="133"/>
      <c r="C49" s="219"/>
      <c r="D49" s="219"/>
      <c r="E49" s="219"/>
      <c r="F49" s="219"/>
      <c r="G49" s="158"/>
      <c r="H49" s="158"/>
      <c r="I49" s="470"/>
      <c r="J49" s="466"/>
      <c r="K49" s="466"/>
      <c r="L49" s="467"/>
      <c r="M49" s="7"/>
    </row>
    <row r="50" spans="1:18" s="2" customFormat="1" ht="15" customHeight="1">
      <c r="A50" s="182"/>
      <c r="B50" s="133"/>
      <c r="C50" s="133"/>
      <c r="D50" s="133"/>
      <c r="E50" s="133"/>
      <c r="F50" s="133"/>
      <c r="G50" s="133"/>
      <c r="H50" s="133"/>
      <c r="I50" s="212"/>
      <c r="J50" s="212"/>
      <c r="K50" s="212"/>
      <c r="L50" s="213"/>
      <c r="M50" s="7"/>
    </row>
    <row r="51" spans="1:18" s="2" customFormat="1" ht="15" customHeight="1" thickBot="1">
      <c r="A51" s="129"/>
      <c r="B51" s="264"/>
      <c r="C51" s="153"/>
      <c r="D51" s="153"/>
      <c r="E51" s="153"/>
      <c r="F51" s="153"/>
      <c r="G51" s="153"/>
      <c r="H51" s="153"/>
      <c r="I51" s="265"/>
      <c r="J51" s="265"/>
      <c r="K51" s="265"/>
      <c r="L51" s="266"/>
      <c r="M51" s="7"/>
      <c r="N51" s="9"/>
      <c r="O51" s="116"/>
      <c r="P51" s="15"/>
      <c r="Q51" s="117"/>
      <c r="R51" s="7"/>
    </row>
    <row r="52" spans="1:18" s="2" customFormat="1" ht="15" customHeight="1" thickBot="1">
      <c r="A52" s="118"/>
      <c r="B52" s="119"/>
      <c r="C52" s="111"/>
      <c r="D52" s="111"/>
      <c r="E52" s="111"/>
      <c r="F52" s="111"/>
      <c r="G52" s="111"/>
      <c r="H52" s="111"/>
      <c r="I52" s="120"/>
      <c r="J52" s="120"/>
      <c r="K52" s="120"/>
      <c r="L52" s="120"/>
      <c r="M52" s="7"/>
      <c r="N52" s="9"/>
      <c r="O52" s="116"/>
      <c r="P52" s="15"/>
      <c r="Q52" s="117"/>
      <c r="R52" s="7"/>
    </row>
    <row r="53" spans="1:18" s="2" customFormat="1" ht="18.75" customHeight="1" thickBot="1">
      <c r="A53" s="763" t="s">
        <v>196</v>
      </c>
      <c r="B53" s="764"/>
      <c r="C53" s="764"/>
      <c r="D53" s="764"/>
      <c r="E53" s="764"/>
      <c r="F53" s="764"/>
      <c r="G53" s="764"/>
      <c r="H53" s="764"/>
      <c r="I53" s="764"/>
      <c r="J53" s="764"/>
      <c r="K53" s="764"/>
      <c r="L53" s="765"/>
    </row>
    <row r="54" spans="1:18" s="2" customFormat="1" ht="28.5" customHeight="1" thickTop="1">
      <c r="A54" s="354" t="s">
        <v>206</v>
      </c>
      <c r="B54" s="766" t="str">
        <f>+表紙!$B$3&amp;"　　（５．エネルギー消費量）"</f>
        <v>ラックコンベア洗浄機、フライトコンベア洗浄機、フラットコンベア洗浄機(選択してください)　　（５．エネルギー消費量）</v>
      </c>
      <c r="C54" s="767"/>
      <c r="D54" s="767"/>
      <c r="E54" s="767"/>
      <c r="F54" s="767"/>
      <c r="G54" s="767"/>
      <c r="H54" s="767"/>
      <c r="I54" s="767"/>
      <c r="J54" s="767"/>
      <c r="K54" s="766" t="str">
        <f>"ガス種："&amp;表紙!$K$11</f>
        <v>ガス種：選択して下さい</v>
      </c>
      <c r="L54" s="768"/>
    </row>
    <row r="55" spans="1:18" s="2" customFormat="1" ht="18" customHeight="1" thickBot="1">
      <c r="A55" s="341" t="s">
        <v>282</v>
      </c>
      <c r="B55" s="770" t="str">
        <f>IF(表紙!$B$6=0,"",表紙!$B$6)</f>
        <v/>
      </c>
      <c r="C55" s="771"/>
      <c r="D55" s="771"/>
      <c r="E55" s="771"/>
      <c r="F55" s="771"/>
      <c r="G55" s="784"/>
      <c r="H55" s="5" t="s">
        <v>1</v>
      </c>
      <c r="I55" s="770" t="str">
        <f>IF(表紙!$H$5=0,"",表紙!$H$5)</f>
        <v/>
      </c>
      <c r="J55" s="771"/>
      <c r="K55" s="771"/>
      <c r="L55" s="772"/>
      <c r="M55" s="7"/>
      <c r="O55" s="73" t="s">
        <v>203</v>
      </c>
      <c r="P55" s="73" t="s">
        <v>202</v>
      </c>
    </row>
    <row r="56" spans="1:18" s="2" customFormat="1" ht="14.25" customHeight="1">
      <c r="A56" s="182"/>
      <c r="B56" s="185"/>
      <c r="C56" s="184"/>
      <c r="D56" s="184"/>
      <c r="E56" s="185"/>
      <c r="F56" s="185"/>
      <c r="G56" s="146"/>
      <c r="H56" s="186"/>
      <c r="I56" s="144"/>
      <c r="J56" s="186"/>
      <c r="K56" s="459"/>
      <c r="L56" s="187"/>
      <c r="N56" s="108" t="str">
        <f>表紙!H11</f>
        <v>選択して下さい</v>
      </c>
      <c r="O56" s="109" t="s">
        <v>159</v>
      </c>
      <c r="P56" s="72" t="str">
        <f>表紙!O15</f>
        <v>選択して下さい</v>
      </c>
    </row>
    <row r="57" spans="1:18" s="2" customFormat="1" ht="21" customHeight="1">
      <c r="A57" s="182"/>
      <c r="B57" s="136" t="s">
        <v>481</v>
      </c>
      <c r="C57" s="133"/>
      <c r="D57" s="133"/>
      <c r="E57" s="133"/>
      <c r="F57" s="133"/>
      <c r="G57" s="133"/>
      <c r="H57" s="133"/>
      <c r="I57" s="212"/>
      <c r="J57" s="212"/>
      <c r="K57" s="212"/>
      <c r="L57" s="213"/>
      <c r="M57" s="7"/>
      <c r="N57" s="15"/>
      <c r="O57" s="107" t="s">
        <v>160</v>
      </c>
      <c r="P57" s="72" t="str">
        <f>表紙!O16</f>
        <v>選択して下さい</v>
      </c>
    </row>
    <row r="58" spans="1:18" s="2" customFormat="1" ht="21" customHeight="1">
      <c r="A58" s="182"/>
      <c r="B58" s="136"/>
      <c r="C58" s="133"/>
      <c r="D58" s="133"/>
      <c r="E58" s="133"/>
      <c r="F58" s="133"/>
      <c r="G58" s="133"/>
      <c r="H58" s="133"/>
      <c r="I58" s="212"/>
      <c r="J58" s="212"/>
      <c r="K58" s="212"/>
      <c r="L58" s="213"/>
      <c r="M58" s="7"/>
      <c r="N58" s="7"/>
      <c r="O58" s="109" t="s">
        <v>161</v>
      </c>
      <c r="P58" s="72" t="str">
        <f>表紙!O17</f>
        <v>選択して下さい</v>
      </c>
    </row>
    <row r="59" spans="1:18" s="2" customFormat="1" ht="21" customHeight="1">
      <c r="A59" s="182"/>
      <c r="B59" s="334" t="s">
        <v>489</v>
      </c>
      <c r="C59" s="133"/>
      <c r="D59" s="133"/>
      <c r="E59" s="133"/>
      <c r="F59" s="133"/>
      <c r="G59" s="133"/>
      <c r="H59" s="133"/>
      <c r="I59" s="212"/>
      <c r="J59" s="212"/>
      <c r="K59" s="212"/>
      <c r="L59" s="213"/>
      <c r="M59" s="7"/>
      <c r="O59" s="109" t="s">
        <v>162</v>
      </c>
      <c r="P59" s="72" t="str">
        <f>表紙!O18</f>
        <v>選択して下さい</v>
      </c>
    </row>
    <row r="60" spans="1:18" s="2" customFormat="1" ht="21" customHeight="1" thickBot="1">
      <c r="A60" s="182"/>
      <c r="B60" s="334"/>
      <c r="C60" s="133"/>
      <c r="D60" s="133"/>
      <c r="E60" s="133"/>
      <c r="F60" s="133"/>
      <c r="G60" s="133"/>
      <c r="H60" s="133"/>
      <c r="I60" s="212"/>
      <c r="J60" s="212"/>
      <c r="K60" s="212"/>
      <c r="L60" s="213"/>
      <c r="N60" s="2" t="s">
        <v>163</v>
      </c>
    </row>
    <row r="61" spans="1:18" s="2" customFormat="1" ht="21" customHeight="1" thickBot="1">
      <c r="A61" s="182"/>
      <c r="B61" s="334" t="s">
        <v>490</v>
      </c>
      <c r="C61" s="133"/>
      <c r="D61" s="133"/>
      <c r="E61" s="133"/>
      <c r="F61" s="133"/>
      <c r="G61" s="133"/>
      <c r="H61" s="133"/>
      <c r="I61" s="212"/>
      <c r="J61" s="212"/>
      <c r="K61" s="212"/>
      <c r="L61" s="213"/>
      <c r="N61" s="78" t="s">
        <v>141</v>
      </c>
      <c r="O61" s="77">
        <f>IF(表紙!$H$11="給水接続",15,IF(表紙!$H$11="選択して下さい",0,60))</f>
        <v>0</v>
      </c>
    </row>
    <row r="62" spans="1:18" s="2" customFormat="1" ht="21" customHeight="1" thickBot="1">
      <c r="A62" s="182"/>
      <c r="B62" s="334"/>
      <c r="C62" s="133"/>
      <c r="D62" s="133"/>
      <c r="E62" s="133"/>
      <c r="F62" s="133"/>
      <c r="G62" s="133"/>
      <c r="H62" s="133"/>
      <c r="I62" s="212"/>
      <c r="J62" s="212"/>
      <c r="K62" s="212"/>
      <c r="L62" s="213"/>
      <c r="M62" s="7"/>
      <c r="N62" s="7" t="s">
        <v>165</v>
      </c>
      <c r="P62" s="84" t="s">
        <v>148</v>
      </c>
      <c r="Q62" s="85" t="s">
        <v>166</v>
      </c>
      <c r="R62" s="89" t="s">
        <v>164</v>
      </c>
    </row>
    <row r="63" spans="1:18" s="2" customFormat="1" ht="21" customHeight="1">
      <c r="A63" s="182"/>
      <c r="B63" s="513" t="s">
        <v>319</v>
      </c>
      <c r="C63" s="133"/>
      <c r="D63" s="133"/>
      <c r="E63" s="133"/>
      <c r="F63" s="133"/>
      <c r="G63" s="133"/>
      <c r="H63" s="133"/>
      <c r="I63" s="212"/>
      <c r="J63" s="212"/>
      <c r="K63" s="212"/>
      <c r="L63" s="213"/>
      <c r="M63" s="7"/>
      <c r="N63" s="64" t="s">
        <v>135</v>
      </c>
      <c r="O63" s="79">
        <f>表紙!$F$15</f>
        <v>0</v>
      </c>
      <c r="P63" s="83">
        <f>IF(表紙!$H$11="給水接続",1,0)</f>
        <v>0</v>
      </c>
      <c r="Q63" s="86">
        <f>IF(表紙!$F$16="電気",1,0)</f>
        <v>0</v>
      </c>
      <c r="R63" s="76">
        <f>O63*P63*Q63</f>
        <v>0</v>
      </c>
    </row>
    <row r="64" spans="1:18" s="2" customFormat="1" ht="21" customHeight="1">
      <c r="A64" s="182"/>
      <c r="B64" s="513"/>
      <c r="C64" s="513"/>
      <c r="D64" s="513"/>
      <c r="E64" s="513"/>
      <c r="F64" s="513"/>
      <c r="G64" s="513"/>
      <c r="H64" s="513"/>
      <c r="I64" s="513"/>
      <c r="J64" s="513"/>
      <c r="K64" s="513"/>
      <c r="L64" s="213"/>
      <c r="N64" s="67" t="s">
        <v>136</v>
      </c>
      <c r="O64" s="80">
        <f>表紙!$F$17</f>
        <v>0</v>
      </c>
      <c r="P64" s="82">
        <f>IF(表紙!$H$11="給水接続",1,0)</f>
        <v>0</v>
      </c>
      <c r="Q64" s="87">
        <f>IF(表紙!$F$18="電気",1,0)</f>
        <v>0</v>
      </c>
      <c r="R64" s="74">
        <f>O64*Q64</f>
        <v>0</v>
      </c>
    </row>
    <row r="65" spans="1:18" s="2" customFormat="1" ht="21" customHeight="1">
      <c r="A65" s="182"/>
      <c r="B65" s="215"/>
      <c r="C65" s="223"/>
      <c r="D65" s="223"/>
      <c r="E65" s="223"/>
      <c r="F65" s="223"/>
      <c r="G65" s="223"/>
      <c r="H65" s="144" t="s">
        <v>32</v>
      </c>
      <c r="I65" s="144" t="s">
        <v>34</v>
      </c>
      <c r="J65" s="212"/>
      <c r="K65" s="212"/>
      <c r="L65" s="213"/>
      <c r="N65" s="67" t="s">
        <v>137</v>
      </c>
      <c r="O65" s="80">
        <f>表紙!$J$15</f>
        <v>0</v>
      </c>
      <c r="P65" s="82">
        <f>IF(表紙!$H$11="給水接続",1,0)</f>
        <v>0</v>
      </c>
      <c r="Q65" s="87">
        <f>IF(表紙!$J$16="電気",1,0)</f>
        <v>0</v>
      </c>
      <c r="R65" s="74">
        <f t="shared" ref="R65:R66" si="0">O65*Q65</f>
        <v>0</v>
      </c>
    </row>
    <row r="66" spans="1:18" s="2" customFormat="1" ht="21" customHeight="1" thickBot="1">
      <c r="A66" s="182"/>
      <c r="B66" s="133" t="s">
        <v>323</v>
      </c>
      <c r="C66" s="215"/>
      <c r="D66" s="215"/>
      <c r="E66" s="215"/>
      <c r="F66" s="215"/>
      <c r="G66" s="192" t="s">
        <v>320</v>
      </c>
      <c r="H66" s="382" t="str">
        <f>IF(+'3.立上り性能'!H93&lt;&gt;"",+'3.立上り性能'!H93,"")</f>
        <v/>
      </c>
      <c r="I66" s="382" t="str">
        <f>IF(+'3.立上り性能'!I93&lt;&gt;"",+'3.立上り性能'!I93,"")</f>
        <v/>
      </c>
      <c r="J66" s="193" t="s">
        <v>70</v>
      </c>
      <c r="K66" s="774" t="s">
        <v>39</v>
      </c>
      <c r="L66" s="775"/>
      <c r="N66" s="69" t="s">
        <v>138</v>
      </c>
      <c r="O66" s="81">
        <f>表紙!$J$17</f>
        <v>0</v>
      </c>
      <c r="P66" s="61">
        <f>IF(表紙!$H$11="給水接続",1,0)</f>
        <v>0</v>
      </c>
      <c r="Q66" s="88">
        <f>IF(表紙!$J$18="電気",1,0)</f>
        <v>0</v>
      </c>
      <c r="R66" s="75">
        <f t="shared" si="0"/>
        <v>0</v>
      </c>
    </row>
    <row r="67" spans="1:18" s="2" customFormat="1" ht="5.25" customHeight="1" thickBot="1">
      <c r="A67" s="132"/>
      <c r="B67" s="189"/>
      <c r="C67" s="189"/>
      <c r="D67" s="189"/>
      <c r="E67" s="189"/>
      <c r="F67" s="189"/>
      <c r="G67" s="189"/>
      <c r="H67" s="224"/>
      <c r="I67" s="189"/>
      <c r="J67" s="193"/>
      <c r="K67" s="468"/>
      <c r="L67" s="469"/>
    </row>
    <row r="68" spans="1:18" s="2" customFormat="1" ht="21.75" customHeight="1" thickBot="1">
      <c r="A68" s="132"/>
      <c r="B68" s="133" t="s">
        <v>324</v>
      </c>
      <c r="C68" s="133"/>
      <c r="D68" s="133"/>
      <c r="E68" s="133"/>
      <c r="F68" s="133"/>
      <c r="G68" s="192" t="s">
        <v>321</v>
      </c>
      <c r="H68" s="383" t="str">
        <f>IF(H66="","",(H66+$I$32*((H21-$O$61)*$R$63+(H21-$O$61)*$R$64+(H21-$O$61)*$R$65+(H22-20)*$R$66)/3600))</f>
        <v/>
      </c>
      <c r="I68" s="383" t="str">
        <f>IF(I66="","",(I66+$I$32*((I21-$O$61)*$R$63+(I21-$O$61)*$R$64+(I21-$O$61)*$R$65+(I22-20)*$R$66)/3600))</f>
        <v/>
      </c>
      <c r="J68" s="193" t="s">
        <v>70</v>
      </c>
      <c r="K68" s="774" t="s">
        <v>39</v>
      </c>
      <c r="L68" s="775"/>
    </row>
    <row r="69" spans="1:18" s="2" customFormat="1" ht="4.5" customHeight="1" thickBot="1">
      <c r="A69" s="132"/>
      <c r="B69" s="133"/>
      <c r="C69" s="133"/>
      <c r="D69" s="133"/>
      <c r="E69" s="133"/>
      <c r="F69" s="133"/>
      <c r="G69" s="133"/>
      <c r="H69" s="204"/>
      <c r="I69" s="144"/>
      <c r="J69" s="193"/>
      <c r="K69" s="468"/>
      <c r="L69" s="469"/>
    </row>
    <row r="70" spans="1:18" s="2" customFormat="1" ht="25.5" customHeight="1" thickBot="1">
      <c r="A70" s="132"/>
      <c r="B70" s="133"/>
      <c r="C70" s="133"/>
      <c r="D70" s="133"/>
      <c r="E70" s="133"/>
      <c r="F70" s="133"/>
      <c r="G70" s="133"/>
      <c r="H70" s="225" t="s">
        <v>322</v>
      </c>
      <c r="I70" s="407" t="str">
        <f>IF(COUNT(H68:I68)=2,(H68+I68)/2,"")</f>
        <v/>
      </c>
      <c r="J70" s="193" t="s">
        <v>70</v>
      </c>
      <c r="K70" s="774" t="s">
        <v>39</v>
      </c>
      <c r="L70" s="775"/>
    </row>
    <row r="71" spans="1:18" s="2" customFormat="1" ht="3.75" customHeight="1" thickBot="1">
      <c r="A71" s="132"/>
      <c r="B71" s="133"/>
      <c r="C71" s="133"/>
      <c r="D71" s="133"/>
      <c r="E71" s="133"/>
      <c r="F71" s="133"/>
      <c r="G71" s="133"/>
      <c r="H71" s="225"/>
      <c r="I71" s="226"/>
      <c r="J71" s="193"/>
      <c r="K71" s="459"/>
      <c r="L71" s="460"/>
    </row>
    <row r="72" spans="1:18" s="2" customFormat="1" ht="21.75" customHeight="1" thickBot="1">
      <c r="A72" s="132"/>
      <c r="B72" s="133"/>
      <c r="C72" s="133"/>
      <c r="D72" s="133"/>
      <c r="E72" s="133"/>
      <c r="F72" s="133"/>
      <c r="G72" s="133"/>
      <c r="H72" s="158" t="s">
        <v>58</v>
      </c>
      <c r="I72" s="384" t="str">
        <f>IF(I70&lt;&gt;"",ABS(H68-I68)/I70,"")</f>
        <v/>
      </c>
      <c r="J72" s="193"/>
      <c r="K72" s="459"/>
      <c r="L72" s="460"/>
    </row>
    <row r="73" spans="1:18" s="2" customFormat="1" ht="5.25" customHeight="1">
      <c r="A73" s="132"/>
      <c r="B73" s="133"/>
      <c r="C73" s="133"/>
      <c r="D73" s="133"/>
      <c r="E73" s="133"/>
      <c r="F73" s="133"/>
      <c r="G73" s="133"/>
      <c r="H73" s="158"/>
      <c r="I73" s="471"/>
      <c r="J73" s="193"/>
      <c r="K73" s="459"/>
      <c r="L73" s="460"/>
    </row>
    <row r="74" spans="1:18" s="2" customFormat="1" ht="21" customHeight="1">
      <c r="A74" s="132"/>
      <c r="B74" s="133"/>
      <c r="C74" s="133"/>
      <c r="D74" s="133"/>
      <c r="E74" s="133"/>
      <c r="F74" s="133"/>
      <c r="G74" s="133"/>
      <c r="H74" s="158"/>
      <c r="I74" s="471"/>
      <c r="J74" s="193"/>
      <c r="K74" s="459"/>
      <c r="L74" s="460"/>
    </row>
    <row r="75" spans="1:18" s="2" customFormat="1" ht="21" customHeight="1">
      <c r="A75" s="132"/>
      <c r="B75" s="133"/>
      <c r="C75" s="133"/>
      <c r="D75" s="133"/>
      <c r="E75" s="133"/>
      <c r="F75" s="133"/>
      <c r="G75" s="133"/>
      <c r="H75" s="158"/>
      <c r="I75" s="471"/>
      <c r="J75" s="193"/>
      <c r="K75" s="459"/>
      <c r="L75" s="460"/>
    </row>
    <row r="76" spans="1:18" s="2" customFormat="1" ht="21" customHeight="1">
      <c r="A76" s="132"/>
      <c r="B76" s="133"/>
      <c r="C76" s="133"/>
      <c r="D76" s="133"/>
      <c r="E76" s="133"/>
      <c r="F76" s="133"/>
      <c r="G76" s="133"/>
      <c r="H76" s="158"/>
      <c r="I76" s="471"/>
      <c r="J76" s="193"/>
      <c r="K76" s="459"/>
      <c r="L76" s="460"/>
    </row>
    <row r="77" spans="1:18" s="2" customFormat="1" ht="21" customHeight="1">
      <c r="A77" s="132"/>
      <c r="B77" s="133"/>
      <c r="C77" s="133"/>
      <c r="D77" s="133"/>
      <c r="E77" s="133"/>
      <c r="F77" s="133"/>
      <c r="G77" s="133"/>
      <c r="H77" s="158"/>
      <c r="I77" s="471"/>
      <c r="J77" s="193"/>
      <c r="K77" s="459"/>
      <c r="L77" s="460"/>
    </row>
    <row r="78" spans="1:18" s="2" customFormat="1" ht="21" customHeight="1">
      <c r="A78" s="132"/>
      <c r="B78" s="133"/>
      <c r="C78" s="133"/>
      <c r="D78" s="133"/>
      <c r="E78" s="133"/>
      <c r="F78" s="133"/>
      <c r="G78" s="133"/>
      <c r="H78" s="158"/>
      <c r="I78" s="471"/>
      <c r="J78" s="193"/>
      <c r="K78" s="459"/>
      <c r="L78" s="460"/>
    </row>
    <row r="79" spans="1:18" s="2" customFormat="1" ht="21" customHeight="1">
      <c r="A79" s="132"/>
      <c r="B79" s="133"/>
      <c r="C79" s="133"/>
      <c r="D79" s="133"/>
      <c r="E79" s="133"/>
      <c r="F79" s="133"/>
      <c r="G79" s="133"/>
      <c r="H79" s="158"/>
      <c r="I79" s="471"/>
      <c r="J79" s="193"/>
      <c r="K79" s="459"/>
      <c r="L79" s="460"/>
    </row>
    <row r="80" spans="1:18" s="2" customFormat="1" ht="21" customHeight="1">
      <c r="A80" s="132"/>
      <c r="B80" s="133"/>
      <c r="C80" s="133"/>
      <c r="D80" s="133"/>
      <c r="E80" s="133"/>
      <c r="F80" s="133"/>
      <c r="G80" s="133"/>
      <c r="H80" s="158"/>
      <c r="I80" s="471"/>
      <c r="J80" s="193"/>
      <c r="K80" s="459"/>
      <c r="L80" s="460"/>
    </row>
    <row r="81" spans="1:12" s="2" customFormat="1" ht="21" customHeight="1">
      <c r="A81" s="132"/>
      <c r="B81" s="133"/>
      <c r="C81" s="133"/>
      <c r="D81" s="133"/>
      <c r="E81" s="133"/>
      <c r="F81" s="133"/>
      <c r="G81" s="133"/>
      <c r="H81" s="158"/>
      <c r="I81" s="471"/>
      <c r="J81" s="193"/>
      <c r="K81" s="459"/>
      <c r="L81" s="460"/>
    </row>
    <row r="82" spans="1:12" s="2" customFormat="1" ht="21" customHeight="1">
      <c r="A82" s="132"/>
      <c r="B82" s="133"/>
      <c r="C82" s="133"/>
      <c r="D82" s="133"/>
      <c r="E82" s="133"/>
      <c r="F82" s="133"/>
      <c r="G82" s="133"/>
      <c r="H82" s="158"/>
      <c r="I82" s="471"/>
      <c r="J82" s="193"/>
      <c r="K82" s="459"/>
      <c r="L82" s="460"/>
    </row>
    <row r="83" spans="1:12" s="2" customFormat="1" ht="21" customHeight="1">
      <c r="A83" s="132"/>
      <c r="B83" s="133"/>
      <c r="C83" s="133"/>
      <c r="D83" s="133"/>
      <c r="E83" s="133"/>
      <c r="F83" s="133"/>
      <c r="G83" s="133"/>
      <c r="H83" s="158"/>
      <c r="I83" s="471"/>
      <c r="J83" s="193"/>
      <c r="K83" s="459"/>
      <c r="L83" s="460"/>
    </row>
    <row r="84" spans="1:12" s="2" customFormat="1" ht="21" customHeight="1">
      <c r="A84" s="132"/>
      <c r="B84" s="133"/>
      <c r="C84" s="133"/>
      <c r="D84" s="133"/>
      <c r="E84" s="133"/>
      <c r="F84" s="133"/>
      <c r="G84" s="133"/>
      <c r="H84" s="158"/>
      <c r="I84" s="471"/>
      <c r="J84" s="193"/>
      <c r="K84" s="459"/>
      <c r="L84" s="460"/>
    </row>
    <row r="85" spans="1:12" s="2" customFormat="1" ht="21" customHeight="1">
      <c r="A85" s="132"/>
      <c r="B85" s="133"/>
      <c r="C85" s="133"/>
      <c r="D85" s="133"/>
      <c r="E85" s="133"/>
      <c r="F85" s="133"/>
      <c r="G85" s="133"/>
      <c r="H85" s="158"/>
      <c r="I85" s="471"/>
      <c r="J85" s="193"/>
      <c r="K85" s="459"/>
      <c r="L85" s="460"/>
    </row>
    <row r="86" spans="1:12" s="2" customFormat="1" ht="21" customHeight="1">
      <c r="A86" s="132"/>
      <c r="B86" s="133"/>
      <c r="C86" s="133"/>
      <c r="D86" s="133"/>
      <c r="E86" s="133"/>
      <c r="F86" s="133"/>
      <c r="G86" s="133"/>
      <c r="H86" s="158"/>
      <c r="I86" s="471"/>
      <c r="J86" s="193"/>
      <c r="K86" s="459"/>
      <c r="L86" s="460"/>
    </row>
    <row r="87" spans="1:12" s="2" customFormat="1" ht="21" customHeight="1">
      <c r="A87" s="132"/>
      <c r="B87" s="133"/>
      <c r="C87" s="133"/>
      <c r="D87" s="133"/>
      <c r="E87" s="133"/>
      <c r="F87" s="133"/>
      <c r="G87" s="133"/>
      <c r="H87" s="158"/>
      <c r="I87" s="471"/>
      <c r="J87" s="193"/>
      <c r="K87" s="459"/>
      <c r="L87" s="460"/>
    </row>
    <row r="88" spans="1:12" s="2" customFormat="1" ht="21" customHeight="1">
      <c r="A88" s="132"/>
      <c r="B88" s="133"/>
      <c r="C88" s="133"/>
      <c r="D88" s="133"/>
      <c r="E88" s="133"/>
      <c r="F88" s="133"/>
      <c r="G88" s="133"/>
      <c r="H88" s="158"/>
      <c r="I88" s="471"/>
      <c r="J88" s="193"/>
      <c r="K88" s="459"/>
      <c r="L88" s="460"/>
    </row>
    <row r="89" spans="1:12" s="2" customFormat="1" ht="21" customHeight="1">
      <c r="A89" s="132"/>
      <c r="B89" s="133"/>
      <c r="C89" s="133"/>
      <c r="D89" s="133"/>
      <c r="E89" s="133"/>
      <c r="F89" s="133"/>
      <c r="G89" s="133"/>
      <c r="H89" s="158"/>
      <c r="I89" s="471"/>
      <c r="J89" s="193"/>
      <c r="K89" s="459"/>
      <c r="L89" s="460"/>
    </row>
    <row r="90" spans="1:12" s="2" customFormat="1" ht="21" customHeight="1">
      <c r="A90" s="132"/>
      <c r="B90" s="133"/>
      <c r="C90" s="133"/>
      <c r="D90" s="133"/>
      <c r="E90" s="133"/>
      <c r="F90" s="133"/>
      <c r="G90" s="133"/>
      <c r="H90" s="158"/>
      <c r="I90" s="471"/>
      <c r="J90" s="193"/>
      <c r="K90" s="459"/>
      <c r="L90" s="460"/>
    </row>
    <row r="91" spans="1:12" s="2" customFormat="1" ht="21" customHeight="1">
      <c r="A91" s="132"/>
      <c r="B91" s="133"/>
      <c r="C91" s="133"/>
      <c r="D91" s="133"/>
      <c r="E91" s="133"/>
      <c r="F91" s="133"/>
      <c r="G91" s="133"/>
      <c r="H91" s="158"/>
      <c r="I91" s="471"/>
      <c r="J91" s="193"/>
      <c r="K91" s="459"/>
      <c r="L91" s="460"/>
    </row>
    <row r="92" spans="1:12" s="2" customFormat="1" ht="21" customHeight="1" thickBot="1">
      <c r="A92" s="172"/>
      <c r="B92" s="250"/>
      <c r="C92" s="514"/>
      <c r="D92" s="514"/>
      <c r="E92" s="514"/>
      <c r="F92" s="515"/>
      <c r="G92" s="516"/>
      <c r="H92" s="517"/>
      <c r="I92" s="517"/>
      <c r="J92" s="518"/>
      <c r="K92" s="267"/>
      <c r="L92" s="268"/>
    </row>
    <row r="93" spans="1:12" s="2" customFormat="1" ht="21" customHeight="1" thickBot="1">
      <c r="A93" s="111"/>
      <c r="B93" s="121"/>
      <c r="C93" s="519"/>
      <c r="D93" s="519"/>
      <c r="E93" s="519"/>
      <c r="F93" s="520"/>
      <c r="G93" s="521"/>
      <c r="H93" s="522"/>
      <c r="I93" s="522"/>
      <c r="J93" s="523"/>
      <c r="K93" s="122"/>
      <c r="L93" s="122"/>
    </row>
    <row r="94" spans="1:12" s="2" customFormat="1" ht="18.75" customHeight="1" thickBot="1">
      <c r="A94" s="763" t="s">
        <v>196</v>
      </c>
      <c r="B94" s="764"/>
      <c r="C94" s="764"/>
      <c r="D94" s="764"/>
      <c r="E94" s="764"/>
      <c r="F94" s="764"/>
      <c r="G94" s="764"/>
      <c r="H94" s="764"/>
      <c r="I94" s="764"/>
      <c r="J94" s="764"/>
      <c r="K94" s="764"/>
      <c r="L94" s="765"/>
    </row>
    <row r="95" spans="1:12" s="2" customFormat="1" ht="27.75" customHeight="1" thickTop="1">
      <c r="A95" s="354" t="s">
        <v>206</v>
      </c>
      <c r="B95" s="766" t="str">
        <f>+表紙!$B$3&amp;"　　（５．エネルギー消費量）"</f>
        <v>ラックコンベア洗浄機、フライトコンベア洗浄機、フラットコンベア洗浄機(選択してください)　　（５．エネルギー消費量）</v>
      </c>
      <c r="C95" s="767"/>
      <c r="D95" s="767"/>
      <c r="E95" s="767"/>
      <c r="F95" s="767"/>
      <c r="G95" s="767"/>
      <c r="H95" s="767"/>
      <c r="I95" s="767"/>
      <c r="J95" s="767"/>
      <c r="K95" s="766" t="str">
        <f>"ガス種："&amp;表紙!$K$11</f>
        <v>ガス種：選択して下さい</v>
      </c>
      <c r="L95" s="768"/>
    </row>
    <row r="96" spans="1:12" s="2" customFormat="1" ht="18" customHeight="1" thickBot="1">
      <c r="A96" s="341" t="s">
        <v>282</v>
      </c>
      <c r="B96" s="770" t="str">
        <f>IF(表紙!$B$6=0,"",表紙!$B$6)</f>
        <v/>
      </c>
      <c r="C96" s="771"/>
      <c r="D96" s="771"/>
      <c r="E96" s="771"/>
      <c r="F96" s="771"/>
      <c r="G96" s="784"/>
      <c r="H96" s="5" t="s">
        <v>1</v>
      </c>
      <c r="I96" s="770" t="str">
        <f>IF(表紙!$H$5=0,"",表紙!$H$5)</f>
        <v/>
      </c>
      <c r="J96" s="771"/>
      <c r="K96" s="771"/>
      <c r="L96" s="772"/>
    </row>
    <row r="97" spans="1:15" s="2" customFormat="1" ht="12" customHeight="1">
      <c r="A97" s="132"/>
      <c r="B97" s="139"/>
      <c r="C97" s="490"/>
      <c r="D97" s="490"/>
      <c r="E97" s="490"/>
      <c r="F97" s="493"/>
      <c r="G97" s="524"/>
      <c r="H97" s="497"/>
      <c r="I97" s="497"/>
      <c r="J97" s="486"/>
      <c r="K97" s="449"/>
      <c r="L97" s="450"/>
    </row>
    <row r="98" spans="1:15" s="2" customFormat="1" ht="18.75" customHeight="1">
      <c r="A98" s="132"/>
      <c r="B98" s="228" t="s">
        <v>76</v>
      </c>
      <c r="C98" s="451"/>
      <c r="D98" s="133"/>
      <c r="E98" s="133"/>
      <c r="F98" s="133"/>
      <c r="G98" s="133"/>
      <c r="H98" s="204"/>
      <c r="I98" s="144"/>
      <c r="J98" s="133"/>
      <c r="K98" s="133"/>
      <c r="L98" s="134"/>
    </row>
    <row r="99" spans="1:15" s="2" customFormat="1" ht="18.75" customHeight="1">
      <c r="A99" s="132"/>
      <c r="B99" s="795" t="s">
        <v>183</v>
      </c>
      <c r="C99" s="795"/>
      <c r="D99" s="795"/>
      <c r="E99" s="795"/>
      <c r="F99" s="795"/>
      <c r="G99" s="795"/>
      <c r="H99" s="795"/>
      <c r="I99" s="795"/>
      <c r="J99" s="795"/>
      <c r="K99" s="795"/>
      <c r="L99" s="134"/>
      <c r="N99" s="72" t="str">
        <f>表紙!H11</f>
        <v>選択して下さい</v>
      </c>
    </row>
    <row r="100" spans="1:15" s="2" customFormat="1" ht="18.75" customHeight="1">
      <c r="A100" s="132"/>
      <c r="B100" s="795"/>
      <c r="C100" s="795"/>
      <c r="D100" s="795"/>
      <c r="E100" s="795"/>
      <c r="F100" s="795"/>
      <c r="G100" s="795"/>
      <c r="H100" s="795"/>
      <c r="I100" s="795"/>
      <c r="J100" s="795"/>
      <c r="K100" s="795"/>
      <c r="L100" s="134"/>
    </row>
    <row r="101" spans="1:15" s="2" customFormat="1" ht="18.75" customHeight="1" thickBot="1">
      <c r="A101" s="132"/>
      <c r="B101" s="139"/>
      <c r="C101" s="139"/>
      <c r="D101" s="139"/>
      <c r="E101" s="139"/>
      <c r="F101" s="139"/>
      <c r="G101" s="139"/>
      <c r="H101" s="139"/>
      <c r="I101" s="139"/>
      <c r="J101" s="139"/>
      <c r="K101" s="139"/>
      <c r="L101" s="134"/>
      <c r="N101" s="2" t="s">
        <v>167</v>
      </c>
    </row>
    <row r="102" spans="1:15" s="2" customFormat="1" ht="18.75" customHeight="1" thickBot="1">
      <c r="A102" s="132"/>
      <c r="B102" s="136" t="s">
        <v>495</v>
      </c>
      <c r="C102" s="139"/>
      <c r="D102" s="139"/>
      <c r="E102" s="139"/>
      <c r="F102" s="139"/>
      <c r="G102" s="139"/>
      <c r="H102" s="139"/>
      <c r="I102" s="139"/>
      <c r="J102" s="139"/>
      <c r="K102" s="139"/>
      <c r="L102" s="134"/>
      <c r="N102" s="78" t="s">
        <v>141</v>
      </c>
      <c r="O102" s="77">
        <f>IF(表紙!$H$11="給湯接続",60,IF(表紙!$H$11="選択して下さい",0,15))</f>
        <v>0</v>
      </c>
    </row>
    <row r="103" spans="1:15" s="2" customFormat="1" ht="18.75" customHeight="1">
      <c r="A103" s="132"/>
      <c r="B103" s="334" t="s">
        <v>489</v>
      </c>
      <c r="C103" s="334"/>
      <c r="D103" s="139"/>
      <c r="E103" s="139"/>
      <c r="F103" s="139"/>
      <c r="G103" s="144" t="s">
        <v>490</v>
      </c>
      <c r="H103" s="139"/>
      <c r="I103" s="139"/>
      <c r="J103" s="139"/>
      <c r="K103" s="139"/>
      <c r="L103" s="134"/>
    </row>
    <row r="104" spans="1:15" s="2" customFormat="1" ht="18.75" customHeight="1">
      <c r="A104" s="132"/>
      <c r="B104" s="136"/>
      <c r="C104" s="139"/>
      <c r="D104" s="139"/>
      <c r="E104" s="139"/>
      <c r="F104" s="139"/>
      <c r="G104" s="139"/>
      <c r="H104" s="139"/>
      <c r="I104" s="139"/>
      <c r="J104" s="139"/>
      <c r="K104" s="139"/>
      <c r="L104" s="134"/>
    </row>
    <row r="105" spans="1:15" s="2" customFormat="1" ht="18.75" customHeight="1">
      <c r="A105" s="132"/>
      <c r="B105" s="136"/>
      <c r="C105" s="139"/>
      <c r="D105" s="139"/>
      <c r="E105" s="139"/>
      <c r="F105" s="139"/>
      <c r="G105" s="139"/>
      <c r="H105" s="139"/>
      <c r="I105" s="139"/>
      <c r="J105" s="139"/>
      <c r="K105" s="139"/>
      <c r="L105" s="134"/>
    </row>
    <row r="106" spans="1:15" s="2" customFormat="1" ht="18.75" customHeight="1">
      <c r="A106" s="132"/>
      <c r="B106" s="133"/>
      <c r="C106" s="133"/>
      <c r="D106" s="133"/>
      <c r="E106" s="133"/>
      <c r="F106" s="133"/>
      <c r="G106" s="133"/>
      <c r="H106" s="144" t="s">
        <v>149</v>
      </c>
      <c r="I106" s="144" t="s">
        <v>150</v>
      </c>
      <c r="J106" s="212"/>
      <c r="K106" s="212"/>
      <c r="L106" s="213"/>
    </row>
    <row r="107" spans="1:15" s="2" customFormat="1" ht="18.75" customHeight="1">
      <c r="A107" s="132"/>
      <c r="B107" s="334" t="s">
        <v>451</v>
      </c>
      <c r="C107" s="212"/>
      <c r="D107" s="212"/>
      <c r="E107" s="212"/>
      <c r="F107" s="212"/>
      <c r="G107" s="192" t="s">
        <v>460</v>
      </c>
      <c r="H107" s="551"/>
      <c r="I107" s="551"/>
      <c r="J107" s="193" t="s">
        <v>25</v>
      </c>
      <c r="K107" s="855" t="s">
        <v>16</v>
      </c>
      <c r="L107" s="856"/>
    </row>
    <row r="108" spans="1:15" s="2" customFormat="1" ht="18.75" customHeight="1">
      <c r="A108" s="132"/>
      <c r="B108" s="334" t="s">
        <v>310</v>
      </c>
      <c r="C108" s="190"/>
      <c r="D108" s="190"/>
      <c r="E108" s="190"/>
      <c r="F108" s="190"/>
      <c r="G108" s="192" t="s">
        <v>327</v>
      </c>
      <c r="H108" s="551"/>
      <c r="I108" s="552"/>
      <c r="J108" s="193" t="s">
        <v>25</v>
      </c>
      <c r="K108" s="855" t="s">
        <v>16</v>
      </c>
      <c r="L108" s="856"/>
    </row>
    <row r="109" spans="1:15" s="2" customFormat="1" ht="18.75" customHeight="1">
      <c r="A109" s="132"/>
      <c r="B109" s="451" t="s">
        <v>328</v>
      </c>
      <c r="C109" s="133"/>
      <c r="D109" s="451"/>
      <c r="E109" s="451"/>
      <c r="F109" s="451"/>
      <c r="G109" s="192" t="s">
        <v>326</v>
      </c>
      <c r="H109" s="553"/>
      <c r="I109" s="553"/>
      <c r="J109" s="466" t="s">
        <v>21</v>
      </c>
      <c r="K109" s="855" t="s">
        <v>20</v>
      </c>
      <c r="L109" s="856"/>
    </row>
    <row r="110" spans="1:15" s="2" customFormat="1" ht="18.75" customHeight="1">
      <c r="A110" s="132"/>
      <c r="B110" s="451" t="s">
        <v>329</v>
      </c>
      <c r="C110" s="133"/>
      <c r="D110" s="451"/>
      <c r="E110" s="451"/>
      <c r="F110" s="451"/>
      <c r="G110" s="192" t="s">
        <v>325</v>
      </c>
      <c r="H110" s="385" t="str">
        <f>+'6.給水量または給湯量'!G15</f>
        <v/>
      </c>
      <c r="I110" s="385" t="str">
        <f>+'6.給水量または給湯量'!G15</f>
        <v/>
      </c>
      <c r="J110" s="466" t="s">
        <v>22</v>
      </c>
      <c r="K110" s="774" t="s">
        <v>61</v>
      </c>
      <c r="L110" s="775"/>
    </row>
    <row r="111" spans="1:15" s="2" customFormat="1" ht="18.75" customHeight="1">
      <c r="A111" s="132"/>
      <c r="B111" s="451" t="s">
        <v>209</v>
      </c>
      <c r="C111" s="451"/>
      <c r="D111" s="451"/>
      <c r="E111" s="451"/>
      <c r="F111" s="451"/>
      <c r="G111" s="451"/>
      <c r="H111" s="192" t="s">
        <v>210</v>
      </c>
      <c r="I111" s="386">
        <v>4.1900000000000004</v>
      </c>
      <c r="J111" s="193" t="s">
        <v>41</v>
      </c>
      <c r="K111" s="857"/>
      <c r="L111" s="858"/>
    </row>
    <row r="112" spans="1:15" s="2" customFormat="1" ht="18.75" customHeight="1">
      <c r="A112" s="132"/>
      <c r="B112" s="139"/>
      <c r="C112" s="139"/>
      <c r="D112" s="139"/>
      <c r="E112" s="139"/>
      <c r="F112" s="139"/>
      <c r="G112" s="139"/>
      <c r="H112" s="139"/>
      <c r="I112" s="139"/>
      <c r="J112" s="139"/>
      <c r="K112" s="139"/>
      <c r="L112" s="134"/>
    </row>
    <row r="113" spans="1:14" s="2" customFormat="1" ht="18.75" customHeight="1">
      <c r="A113" s="132"/>
      <c r="B113" s="133" t="s">
        <v>496</v>
      </c>
      <c r="C113" s="133"/>
      <c r="D113" s="133"/>
      <c r="E113" s="143"/>
      <c r="F113" s="143"/>
      <c r="G113" s="485"/>
      <c r="H113" s="485"/>
      <c r="I113" s="485"/>
      <c r="J113" s="485"/>
      <c r="K113" s="485"/>
      <c r="L113" s="134"/>
    </row>
    <row r="114" spans="1:14" s="2" customFormat="1" ht="18.75" customHeight="1">
      <c r="A114" s="132"/>
      <c r="B114" s="139"/>
      <c r="C114" s="483"/>
      <c r="D114" s="143"/>
      <c r="E114" s="483"/>
      <c r="F114" s="483"/>
      <c r="G114" s="483"/>
      <c r="H114" s="483"/>
      <c r="I114" s="483"/>
      <c r="J114" s="483"/>
      <c r="K114" s="483"/>
      <c r="L114" s="134"/>
    </row>
    <row r="115" spans="1:14" s="2" customFormat="1" ht="18.75" customHeight="1">
      <c r="A115" s="132"/>
      <c r="B115" s="139"/>
      <c r="C115" s="483"/>
      <c r="D115" s="483"/>
      <c r="E115" s="483"/>
      <c r="F115" s="483"/>
      <c r="G115" s="483"/>
      <c r="H115" s="133"/>
      <c r="I115" s="133"/>
      <c r="J115" s="483"/>
      <c r="K115" s="483"/>
      <c r="L115" s="134"/>
    </row>
    <row r="116" spans="1:14" s="2" customFormat="1" ht="18.75" customHeight="1">
      <c r="A116" s="132"/>
      <c r="B116" s="139"/>
      <c r="C116" s="483"/>
      <c r="D116" s="483"/>
      <c r="E116" s="483"/>
      <c r="F116" s="483"/>
      <c r="G116" s="483"/>
      <c r="H116" s="144" t="s">
        <v>32</v>
      </c>
      <c r="I116" s="232" t="s">
        <v>34</v>
      </c>
      <c r="J116" s="483"/>
      <c r="K116" s="483"/>
      <c r="L116" s="134"/>
    </row>
    <row r="117" spans="1:14" s="2" customFormat="1" ht="18.75" customHeight="1">
      <c r="A117" s="132"/>
      <c r="B117" s="525" t="s">
        <v>342</v>
      </c>
      <c r="C117" s="525"/>
      <c r="D117" s="146"/>
      <c r="E117" s="146"/>
      <c r="F117" s="526"/>
      <c r="G117" s="527" t="s">
        <v>331</v>
      </c>
      <c r="H117" s="528" t="str">
        <f>IF(H109*60&lt;&gt;0,H109*60,"")</f>
        <v/>
      </c>
      <c r="I117" s="528" t="str">
        <f>IF(I109*60&lt;&gt;0,I109*60,"")</f>
        <v/>
      </c>
      <c r="J117" s="529" t="s">
        <v>144</v>
      </c>
      <c r="K117" s="774" t="s">
        <v>20</v>
      </c>
      <c r="L117" s="775"/>
    </row>
    <row r="118" spans="1:14" s="2" customFormat="1" ht="18.75" customHeight="1">
      <c r="A118" s="132"/>
      <c r="B118" s="530" t="s">
        <v>341</v>
      </c>
      <c r="C118" s="530"/>
      <c r="D118" s="146"/>
      <c r="E118" s="146"/>
      <c r="F118" s="443"/>
      <c r="G118" s="527" t="s">
        <v>332</v>
      </c>
      <c r="H118" s="372"/>
      <c r="I118" s="372"/>
      <c r="J118" s="529" t="s">
        <v>509</v>
      </c>
      <c r="K118" s="774" t="s">
        <v>39</v>
      </c>
      <c r="L118" s="775"/>
    </row>
    <row r="119" spans="1:14" s="2" customFormat="1" ht="18.75" customHeight="1">
      <c r="A119" s="132"/>
      <c r="B119" s="530" t="s">
        <v>340</v>
      </c>
      <c r="C119" s="530"/>
      <c r="D119" s="146"/>
      <c r="E119" s="146"/>
      <c r="F119" s="146"/>
      <c r="G119" s="527" t="s">
        <v>333</v>
      </c>
      <c r="H119" s="373"/>
      <c r="I119" s="373"/>
      <c r="J119" s="529" t="s">
        <v>510</v>
      </c>
      <c r="K119" s="774" t="s">
        <v>61</v>
      </c>
      <c r="L119" s="775"/>
    </row>
    <row r="120" spans="1:14" s="2" customFormat="1" ht="18.75" customHeight="1">
      <c r="A120" s="132"/>
      <c r="B120" s="530" t="s">
        <v>339</v>
      </c>
      <c r="C120" s="530"/>
      <c r="D120" s="530"/>
      <c r="E120" s="530"/>
      <c r="F120" s="530"/>
      <c r="G120" s="527" t="s">
        <v>334</v>
      </c>
      <c r="H120" s="374"/>
      <c r="I120" s="374"/>
      <c r="J120" s="529" t="s">
        <v>145</v>
      </c>
      <c r="K120" s="774" t="s">
        <v>16</v>
      </c>
      <c r="L120" s="775"/>
    </row>
    <row r="121" spans="1:14" s="2" customFormat="1" ht="18.75" customHeight="1">
      <c r="A121" s="132"/>
      <c r="B121" s="530" t="s">
        <v>338</v>
      </c>
      <c r="C121" s="530"/>
      <c r="D121" s="530"/>
      <c r="E121" s="530"/>
      <c r="F121" s="146"/>
      <c r="G121" s="527" t="s">
        <v>335</v>
      </c>
      <c r="H121" s="375"/>
      <c r="I121" s="375"/>
      <c r="J121" s="529" t="s">
        <v>146</v>
      </c>
      <c r="K121" s="774" t="s">
        <v>20</v>
      </c>
      <c r="L121" s="775"/>
    </row>
    <row r="122" spans="1:14" s="2" customFormat="1" ht="18.75" customHeight="1">
      <c r="A122" s="132"/>
      <c r="B122" s="531" t="s">
        <v>337</v>
      </c>
      <c r="C122" s="531"/>
      <c r="D122" s="531"/>
      <c r="E122" s="531"/>
      <c r="F122" s="531"/>
      <c r="G122" s="527" t="s">
        <v>336</v>
      </c>
      <c r="H122" s="375"/>
      <c r="I122" s="375"/>
      <c r="J122" s="529" t="s">
        <v>146</v>
      </c>
      <c r="K122" s="774" t="s">
        <v>20</v>
      </c>
      <c r="L122" s="775"/>
    </row>
    <row r="123" spans="1:14" s="2" customFormat="1" ht="18.75" customHeight="1">
      <c r="A123" s="132"/>
      <c r="B123" s="531" t="s">
        <v>440</v>
      </c>
      <c r="C123" s="531"/>
      <c r="D123" s="531"/>
      <c r="E123" s="531"/>
      <c r="F123" s="531"/>
      <c r="G123" s="527" t="s">
        <v>211</v>
      </c>
      <c r="H123" s="495" t="str">
        <f>IF(COUNTBLANK(H117:H122)=0,IF(H125="乾　式","0.00",10^(7.203-1735.74/(H120+234))),"")</f>
        <v/>
      </c>
      <c r="I123" s="495" t="str">
        <f>IF(COUNTBLANK(I117:I122)=0,IF(H125="乾　式","0.00",10^(7.203-1735.74/(I120+234))),"")</f>
        <v/>
      </c>
      <c r="J123" s="529" t="s">
        <v>147</v>
      </c>
      <c r="K123" s="774" t="s">
        <v>20</v>
      </c>
      <c r="L123" s="775"/>
    </row>
    <row r="124" spans="1:14" s="2" customFormat="1" ht="6.75" customHeight="1">
      <c r="A124" s="132"/>
      <c r="B124" s="139"/>
      <c r="C124" s="490"/>
      <c r="D124" s="490"/>
      <c r="E124" s="490"/>
      <c r="F124" s="493"/>
      <c r="G124" s="524"/>
      <c r="H124" s="497"/>
      <c r="I124" s="497"/>
      <c r="J124" s="486"/>
      <c r="K124" s="449"/>
      <c r="L124" s="450"/>
    </row>
    <row r="125" spans="1:14" s="2" customFormat="1" ht="18.75" customHeight="1">
      <c r="A125" s="132"/>
      <c r="B125" s="334" t="s">
        <v>474</v>
      </c>
      <c r="C125" s="483"/>
      <c r="D125" s="498"/>
      <c r="E125" s="498"/>
      <c r="F125" s="498"/>
      <c r="G125" s="499"/>
      <c r="H125" s="548" t="s">
        <v>533</v>
      </c>
      <c r="I125" s="500"/>
      <c r="J125" s="486"/>
      <c r="K125" s="483"/>
      <c r="L125" s="134"/>
    </row>
    <row r="126" spans="1:14" s="2" customFormat="1" ht="18.75" customHeight="1">
      <c r="A126" s="132"/>
      <c r="B126" s="139"/>
      <c r="C126" s="451" t="s">
        <v>212</v>
      </c>
      <c r="D126" s="451"/>
      <c r="E126" s="451"/>
      <c r="F126" s="451"/>
      <c r="G126" s="451"/>
      <c r="H126" s="451"/>
      <c r="I126" s="451"/>
      <c r="J126" s="451"/>
      <c r="K126" s="451"/>
      <c r="L126" s="300"/>
      <c r="M126" s="7"/>
      <c r="N126" s="7"/>
    </row>
    <row r="127" spans="1:14" s="2" customFormat="1" ht="18.75" customHeight="1">
      <c r="A127" s="132"/>
      <c r="B127" s="139"/>
      <c r="C127" s="451" t="s">
        <v>213</v>
      </c>
      <c r="D127" s="451"/>
      <c r="E127" s="451"/>
      <c r="F127" s="451"/>
      <c r="G127" s="451"/>
      <c r="H127" s="451"/>
      <c r="I127" s="451"/>
      <c r="J127" s="451"/>
      <c r="K127" s="451"/>
      <c r="L127" s="503"/>
    </row>
    <row r="128" spans="1:14" s="2" customFormat="1" ht="18.75" customHeight="1">
      <c r="A128" s="132"/>
      <c r="B128" s="139"/>
      <c r="C128" s="490"/>
      <c r="D128" s="490"/>
      <c r="E128" s="490"/>
      <c r="F128" s="493"/>
      <c r="G128" s="524"/>
      <c r="H128" s="497"/>
      <c r="I128" s="497"/>
      <c r="J128" s="486"/>
      <c r="K128" s="449"/>
      <c r="L128" s="450"/>
    </row>
    <row r="129" spans="1:12" s="2" customFormat="1" ht="18.75" customHeight="1">
      <c r="A129" s="132"/>
      <c r="B129" s="139"/>
      <c r="C129" s="490"/>
      <c r="D129" s="490"/>
      <c r="E129" s="490"/>
      <c r="F129" s="493"/>
      <c r="G129" s="524"/>
      <c r="H129" s="497"/>
      <c r="I129" s="497"/>
      <c r="J129" s="486"/>
      <c r="K129" s="449"/>
      <c r="L129" s="450"/>
    </row>
    <row r="130" spans="1:12" s="2" customFormat="1" ht="19.5" customHeight="1">
      <c r="A130" s="132"/>
      <c r="B130" s="139"/>
      <c r="C130" s="451"/>
      <c r="D130" s="146"/>
      <c r="E130" s="146"/>
      <c r="F130" s="146"/>
      <c r="G130" s="146"/>
      <c r="H130" s="144" t="s">
        <v>32</v>
      </c>
      <c r="I130" s="232" t="s">
        <v>34</v>
      </c>
      <c r="J130" s="133"/>
      <c r="K130" s="133"/>
      <c r="L130" s="141"/>
    </row>
    <row r="131" spans="1:12" s="2" customFormat="1" ht="19.5" customHeight="1">
      <c r="A131" s="132"/>
      <c r="B131" s="334" t="s">
        <v>330</v>
      </c>
      <c r="C131" s="451"/>
      <c r="D131" s="146"/>
      <c r="E131" s="146"/>
      <c r="F131" s="493"/>
      <c r="G131" s="192" t="s">
        <v>441</v>
      </c>
      <c r="H131" s="376" t="str">
        <f>IF(COUNTBLANK(H118:H122)=0,(H118*H119*(H121+H122-H123)*273/3600/101.3/(273+H120)),"")</f>
        <v/>
      </c>
      <c r="I131" s="376" t="str">
        <f>IF(COUNTBLANK(I118:I122)=0,(I118*I119*(I121+I122-I123)*273/3600/101.3/(273+I120)),"")</f>
        <v/>
      </c>
      <c r="J131" s="466" t="s">
        <v>177</v>
      </c>
      <c r="K131" s="774" t="s">
        <v>39</v>
      </c>
      <c r="L131" s="775"/>
    </row>
    <row r="132" spans="1:12" s="2" customFormat="1" ht="7.5" customHeight="1" thickBot="1">
      <c r="A132" s="132"/>
      <c r="B132" s="139"/>
      <c r="C132" s="234"/>
      <c r="D132" s="493"/>
      <c r="E132" s="493"/>
      <c r="F132" s="133"/>
      <c r="G132" s="173"/>
      <c r="H132" s="133"/>
      <c r="I132" s="133"/>
      <c r="J132" s="133"/>
      <c r="K132" s="464"/>
      <c r="L132" s="465"/>
    </row>
    <row r="133" spans="1:12" s="2" customFormat="1" ht="19.5" customHeight="1" thickBot="1">
      <c r="A133" s="132"/>
      <c r="B133" s="334" t="s">
        <v>344</v>
      </c>
      <c r="C133" s="133"/>
      <c r="D133" s="133"/>
      <c r="E133" s="133"/>
      <c r="F133" s="133"/>
      <c r="G133" s="192" t="s">
        <v>442</v>
      </c>
      <c r="H133" s="383" t="str">
        <f>IF(H131="","",(H131*60/H109+H131*(H107-$O$102)/(H108-H107)))</f>
        <v/>
      </c>
      <c r="I133" s="383" t="str">
        <f>IF(I131="","",(I131*60/I109+I131*(I107-$O$102)/(I108-I107)))</f>
        <v/>
      </c>
      <c r="J133" s="193" t="s">
        <v>178</v>
      </c>
      <c r="K133" s="798" t="s">
        <v>39</v>
      </c>
      <c r="L133" s="799"/>
    </row>
    <row r="134" spans="1:12" s="2" customFormat="1" ht="5.25" customHeight="1" thickBot="1">
      <c r="A134" s="132"/>
      <c r="B134" s="133"/>
      <c r="C134" s="133"/>
      <c r="D134" s="133"/>
      <c r="E134" s="133"/>
      <c r="F134" s="133"/>
      <c r="G134" s="133"/>
      <c r="H134" s="204"/>
      <c r="I134" s="144"/>
      <c r="J134" s="193"/>
      <c r="K134" s="464"/>
      <c r="L134" s="465"/>
    </row>
    <row r="135" spans="1:12" s="2" customFormat="1" ht="24.75" customHeight="1" thickBot="1">
      <c r="A135" s="132"/>
      <c r="B135" s="133"/>
      <c r="C135" s="133"/>
      <c r="D135" s="133"/>
      <c r="E135" s="133"/>
      <c r="F135" s="133"/>
      <c r="G135" s="133"/>
      <c r="H135" s="225" t="s">
        <v>343</v>
      </c>
      <c r="I135" s="407" t="str">
        <f>IF(COUNT(H133:I133)=2,(H133+I133)/2,"")</f>
        <v/>
      </c>
      <c r="J135" s="193" t="s">
        <v>178</v>
      </c>
      <c r="K135" s="798" t="s">
        <v>39</v>
      </c>
      <c r="L135" s="799"/>
    </row>
    <row r="136" spans="1:12" s="2" customFormat="1" ht="7.5" customHeight="1" thickBot="1">
      <c r="A136" s="132"/>
      <c r="B136" s="133"/>
      <c r="C136" s="133"/>
      <c r="D136" s="133"/>
      <c r="E136" s="133"/>
      <c r="F136" s="133"/>
      <c r="G136" s="133"/>
      <c r="H136" s="225"/>
      <c r="I136" s="226"/>
      <c r="J136" s="193"/>
      <c r="K136" s="459"/>
      <c r="L136" s="460"/>
    </row>
    <row r="137" spans="1:12" s="2" customFormat="1" ht="19.5" customHeight="1" thickBot="1">
      <c r="A137" s="132"/>
      <c r="B137" s="133"/>
      <c r="C137" s="133"/>
      <c r="D137" s="133"/>
      <c r="E137" s="133"/>
      <c r="F137" s="133"/>
      <c r="G137" s="133"/>
      <c r="H137" s="158" t="s">
        <v>58</v>
      </c>
      <c r="I137" s="384" t="str">
        <f>IF(I135&lt;&gt;"",ABS(H133-I133)/I135,"")</f>
        <v/>
      </c>
      <c r="J137" s="193"/>
      <c r="K137" s="459"/>
      <c r="L137" s="460"/>
    </row>
    <row r="138" spans="1:12" s="2" customFormat="1" ht="9" customHeight="1" thickBot="1">
      <c r="A138" s="172"/>
      <c r="B138" s="250"/>
      <c r="C138" s="514"/>
      <c r="D138" s="514"/>
      <c r="E138" s="514"/>
      <c r="F138" s="515"/>
      <c r="G138" s="516"/>
      <c r="H138" s="517"/>
      <c r="I138" s="517"/>
      <c r="J138" s="518"/>
      <c r="K138" s="267"/>
      <c r="L138" s="268"/>
    </row>
    <row r="139" spans="1:12" s="2" customFormat="1" ht="15.75" customHeight="1" thickBot="1">
      <c r="A139" s="132"/>
      <c r="B139" s="139"/>
      <c r="C139" s="490"/>
      <c r="D139" s="490"/>
      <c r="E139" s="490"/>
      <c r="F139" s="493"/>
      <c r="G139" s="524"/>
      <c r="H139" s="497"/>
      <c r="I139" s="497"/>
      <c r="J139" s="486"/>
      <c r="K139" s="449"/>
      <c r="L139" s="450"/>
    </row>
    <row r="140" spans="1:12" s="2" customFormat="1" ht="19.5" customHeight="1" thickBot="1">
      <c r="A140" s="763" t="s">
        <v>196</v>
      </c>
      <c r="B140" s="764"/>
      <c r="C140" s="764"/>
      <c r="D140" s="764"/>
      <c r="E140" s="764"/>
      <c r="F140" s="764"/>
      <c r="G140" s="764"/>
      <c r="H140" s="764"/>
      <c r="I140" s="764"/>
      <c r="J140" s="764"/>
      <c r="K140" s="764"/>
      <c r="L140" s="765"/>
    </row>
    <row r="141" spans="1:12" s="2" customFormat="1" ht="27.75" customHeight="1" thickTop="1">
      <c r="A141" s="354" t="s">
        <v>206</v>
      </c>
      <c r="B141" s="766" t="str">
        <f>+表紙!$B$3&amp;"　　（５．エネルギー消費量）"</f>
        <v>ラックコンベア洗浄機、フライトコンベア洗浄機、フラットコンベア洗浄機(選択してください)　　（５．エネルギー消費量）</v>
      </c>
      <c r="C141" s="767"/>
      <c r="D141" s="767"/>
      <c r="E141" s="767"/>
      <c r="F141" s="767"/>
      <c r="G141" s="767"/>
      <c r="H141" s="767"/>
      <c r="I141" s="767"/>
      <c r="J141" s="767"/>
      <c r="K141" s="766" t="str">
        <f>"ガス種："&amp;表紙!$K$11</f>
        <v>ガス種：選択して下さい</v>
      </c>
      <c r="L141" s="768"/>
    </row>
    <row r="142" spans="1:12" s="2" customFormat="1" ht="18" customHeight="1" thickBot="1">
      <c r="A142" s="341" t="s">
        <v>282</v>
      </c>
      <c r="B142" s="770" t="str">
        <f>IF(表紙!$B$6=0,"",表紙!$B$6)</f>
        <v/>
      </c>
      <c r="C142" s="771"/>
      <c r="D142" s="771"/>
      <c r="E142" s="771"/>
      <c r="F142" s="771"/>
      <c r="G142" s="784"/>
      <c r="H142" s="5" t="s">
        <v>1</v>
      </c>
      <c r="I142" s="770" t="str">
        <f>IF(表紙!$H$5=0,"",表紙!$H$5)</f>
        <v/>
      </c>
      <c r="J142" s="771"/>
      <c r="K142" s="771"/>
      <c r="L142" s="772"/>
    </row>
    <row r="143" spans="1:12" s="2" customFormat="1" ht="15.75" customHeight="1">
      <c r="A143" s="132"/>
      <c r="B143" s="139"/>
      <c r="C143" s="490"/>
      <c r="D143" s="490"/>
      <c r="E143" s="490"/>
      <c r="F143" s="493"/>
      <c r="G143" s="524"/>
      <c r="H143" s="497"/>
      <c r="I143" s="497"/>
      <c r="J143" s="486"/>
      <c r="K143" s="449"/>
      <c r="L143" s="450"/>
    </row>
    <row r="144" spans="1:12" s="2" customFormat="1" ht="17.25" customHeight="1">
      <c r="A144" s="132"/>
      <c r="B144" s="136" t="s">
        <v>482</v>
      </c>
      <c r="C144" s="139"/>
      <c r="D144" s="139"/>
      <c r="E144" s="139"/>
      <c r="F144" s="139"/>
      <c r="G144" s="139"/>
      <c r="H144" s="139"/>
      <c r="I144" s="139"/>
      <c r="J144" s="139"/>
      <c r="K144" s="139"/>
      <c r="L144" s="134"/>
    </row>
    <row r="145" spans="1:18" s="2" customFormat="1" ht="21.75" customHeight="1" thickBot="1">
      <c r="A145" s="132"/>
      <c r="C145" s="334"/>
      <c r="D145" s="139"/>
      <c r="E145" s="139"/>
      <c r="F145" s="451"/>
      <c r="G145" s="158"/>
      <c r="H145" s="139"/>
      <c r="I145" s="139"/>
      <c r="J145" s="139"/>
      <c r="K145" s="143"/>
      <c r="L145" s="134"/>
    </row>
    <row r="146" spans="1:18" s="2" customFormat="1" ht="18.75" customHeight="1" thickBot="1">
      <c r="A146" s="132"/>
      <c r="B146" s="334" t="s">
        <v>529</v>
      </c>
      <c r="C146" s="133"/>
      <c r="D146" s="133"/>
      <c r="E146" s="133"/>
      <c r="F146" s="133"/>
      <c r="G146" s="133"/>
      <c r="H146" s="133"/>
      <c r="I146" s="133"/>
      <c r="J146" s="133"/>
      <c r="K146" s="133"/>
      <c r="L146" s="134"/>
      <c r="N146" s="7" t="s">
        <v>165</v>
      </c>
      <c r="P146" s="84" t="s">
        <v>148</v>
      </c>
      <c r="Q146" s="85" t="s">
        <v>166</v>
      </c>
      <c r="R146" s="89" t="s">
        <v>164</v>
      </c>
    </row>
    <row r="147" spans="1:18" s="2" customFormat="1" ht="18.75" customHeight="1">
      <c r="A147" s="132"/>
      <c r="B147" s="139"/>
      <c r="C147" s="139"/>
      <c r="D147" s="139"/>
      <c r="E147" s="139"/>
      <c r="F147" s="139"/>
      <c r="G147" s="139"/>
      <c r="H147" s="139"/>
      <c r="I147" s="139"/>
      <c r="J147" s="139"/>
      <c r="K147" s="139"/>
      <c r="L147" s="134"/>
      <c r="N147" s="64" t="s">
        <v>135</v>
      </c>
      <c r="O147" s="79">
        <f>表紙!$F$15</f>
        <v>0</v>
      </c>
      <c r="P147" s="83">
        <f>IF(表紙!$H$11="給水接続",1,0)</f>
        <v>0</v>
      </c>
      <c r="Q147" s="86">
        <f>IF(表紙!$F$16="電気",1,0)</f>
        <v>0</v>
      </c>
      <c r="R147" s="76">
        <f>O147*P147*Q147</f>
        <v>0</v>
      </c>
    </row>
    <row r="148" spans="1:18" s="2" customFormat="1" ht="18.75" customHeight="1">
      <c r="A148" s="237"/>
      <c r="B148" s="451" t="s">
        <v>491</v>
      </c>
      <c r="C148" s="453"/>
      <c r="D148" s="453"/>
      <c r="E148" s="453"/>
      <c r="F148" s="453"/>
      <c r="G148" s="453"/>
      <c r="H148" s="453"/>
      <c r="I148" s="453"/>
      <c r="J148" s="453"/>
      <c r="K148" s="453"/>
      <c r="L148" s="238"/>
      <c r="N148" s="67" t="s">
        <v>136</v>
      </c>
      <c r="O148" s="80">
        <f>表紙!$F$17</f>
        <v>0</v>
      </c>
      <c r="P148" s="82">
        <f>IF(表紙!$H$11="給水接続",1,0)</f>
        <v>0</v>
      </c>
      <c r="Q148" s="87">
        <f>IF(表紙!$F$18="電気",1,0)</f>
        <v>0</v>
      </c>
      <c r="R148" s="74">
        <f>O148*Q148</f>
        <v>0</v>
      </c>
    </row>
    <row r="149" spans="1:18" s="2" customFormat="1" ht="18.75" customHeight="1">
      <c r="A149" s="237"/>
      <c r="B149" s="453"/>
      <c r="C149" s="453"/>
      <c r="D149" s="453"/>
      <c r="E149" s="453"/>
      <c r="F149" s="453"/>
      <c r="G149" s="453"/>
      <c r="H149" s="453"/>
      <c r="I149" s="453"/>
      <c r="J149" s="453"/>
      <c r="K149" s="453"/>
      <c r="L149" s="238"/>
      <c r="N149" s="67" t="s">
        <v>137</v>
      </c>
      <c r="O149" s="80">
        <f>表紙!$J$15</f>
        <v>0</v>
      </c>
      <c r="P149" s="82">
        <f>IF(表紙!$H$11="給水接続",1,0)</f>
        <v>0</v>
      </c>
      <c r="Q149" s="87">
        <f>IF(表紙!$J$16="電気",1,0)</f>
        <v>0</v>
      </c>
      <c r="R149" s="74">
        <f>O149*Q149</f>
        <v>0</v>
      </c>
    </row>
    <row r="150" spans="1:18" s="2" customFormat="1" ht="18.75" customHeight="1" thickBot="1">
      <c r="A150" s="237"/>
      <c r="B150" s="453"/>
      <c r="C150" s="453"/>
      <c r="D150" s="453"/>
      <c r="E150" s="453"/>
      <c r="F150" s="453"/>
      <c r="G150" s="453"/>
      <c r="H150" s="453"/>
      <c r="I150" s="453"/>
      <c r="J150" s="453"/>
      <c r="K150" s="453"/>
      <c r="L150" s="238"/>
      <c r="N150" s="69" t="s">
        <v>138</v>
      </c>
      <c r="O150" s="81">
        <f>表紙!$J$17</f>
        <v>0</v>
      </c>
      <c r="P150" s="61">
        <f>IF(表紙!$H$11="給水接続",1,0)</f>
        <v>0</v>
      </c>
      <c r="Q150" s="88">
        <f>IF(表紙!$J$18="電気",1,0)</f>
        <v>0</v>
      </c>
      <c r="R150" s="75">
        <f>O150*Q150</f>
        <v>0</v>
      </c>
    </row>
    <row r="151" spans="1:18" s="2" customFormat="1" ht="18.75" customHeight="1">
      <c r="A151" s="237"/>
      <c r="B151" s="453"/>
      <c r="C151" s="453"/>
      <c r="D151" s="453"/>
      <c r="E151" s="453"/>
      <c r="F151" s="453"/>
      <c r="G151" s="453"/>
      <c r="H151" s="453"/>
      <c r="I151" s="453"/>
      <c r="J151" s="453"/>
      <c r="K151" s="453"/>
      <c r="L151" s="238"/>
    </row>
    <row r="152" spans="1:18" s="2" customFormat="1" ht="18.75" customHeight="1">
      <c r="A152" s="132"/>
      <c r="B152" s="532" t="s">
        <v>443</v>
      </c>
      <c r="C152" s="532"/>
      <c r="D152" s="532"/>
      <c r="E152" s="532"/>
      <c r="F152" s="532"/>
      <c r="G152" s="532"/>
      <c r="H152" s="532"/>
      <c r="I152" s="532"/>
      <c r="J152" s="532"/>
      <c r="K152" s="532"/>
      <c r="L152" s="134"/>
    </row>
    <row r="153" spans="1:18" s="2" customFormat="1" ht="16.5" customHeight="1">
      <c r="A153" s="132"/>
      <c r="B153" s="532"/>
      <c r="C153" s="532"/>
      <c r="D153" s="532"/>
      <c r="E153" s="532"/>
      <c r="F153" s="532"/>
      <c r="G153" s="532"/>
      <c r="H153" s="532"/>
      <c r="I153" s="532"/>
      <c r="J153" s="532"/>
      <c r="K153" s="532"/>
      <c r="L153" s="134"/>
    </row>
    <row r="154" spans="1:18" s="2" customFormat="1" ht="18.75" customHeight="1">
      <c r="A154" s="132"/>
      <c r="B154" s="532" t="s">
        <v>444</v>
      </c>
      <c r="C154" s="532"/>
      <c r="D154" s="532"/>
      <c r="E154" s="532" t="s">
        <v>445</v>
      </c>
      <c r="F154" s="532"/>
      <c r="G154" s="532"/>
      <c r="H154" s="532"/>
      <c r="J154" s="532"/>
      <c r="K154" s="532"/>
      <c r="L154" s="141"/>
    </row>
    <row r="155" spans="1:18" s="2" customFormat="1" ht="20.25" customHeight="1">
      <c r="A155" s="132"/>
      <c r="B155" s="133"/>
      <c r="C155" s="133"/>
      <c r="D155" s="451"/>
      <c r="E155" s="451"/>
      <c r="F155" s="451"/>
      <c r="G155" s="133"/>
      <c r="H155" s="144" t="s">
        <v>32</v>
      </c>
      <c r="I155" s="144" t="s">
        <v>34</v>
      </c>
      <c r="J155" s="133"/>
      <c r="K155" s="855"/>
      <c r="L155" s="856"/>
    </row>
    <row r="156" spans="1:18" s="2" customFormat="1" ht="18.75" customHeight="1">
      <c r="A156" s="132"/>
      <c r="B156" s="451" t="s">
        <v>345</v>
      </c>
      <c r="C156" s="133"/>
      <c r="D156" s="451"/>
      <c r="E156" s="451"/>
      <c r="F156" s="451"/>
      <c r="G156" s="192" t="s">
        <v>347</v>
      </c>
      <c r="H156" s="554"/>
      <c r="I156" s="554"/>
      <c r="J156" s="466" t="s">
        <v>11</v>
      </c>
      <c r="K156" s="798" t="s">
        <v>39</v>
      </c>
      <c r="L156" s="799"/>
    </row>
    <row r="157" spans="1:18" s="2" customFormat="1" ht="3.75" customHeight="1" thickBot="1">
      <c r="A157" s="132"/>
      <c r="B157" s="451"/>
      <c r="C157" s="133"/>
      <c r="D157" s="451"/>
      <c r="E157" s="451"/>
      <c r="F157" s="451"/>
      <c r="G157" s="192"/>
      <c r="H157" s="236"/>
      <c r="I157" s="236"/>
      <c r="J157" s="466"/>
      <c r="K157" s="454"/>
      <c r="L157" s="465"/>
    </row>
    <row r="158" spans="1:18" s="2" customFormat="1" ht="18.75" customHeight="1" thickBot="1">
      <c r="A158" s="132"/>
      <c r="B158" s="133" t="s">
        <v>346</v>
      </c>
      <c r="C158" s="133"/>
      <c r="D158" s="451"/>
      <c r="E158" s="451"/>
      <c r="F158" s="451"/>
      <c r="G158" s="192" t="s">
        <v>518</v>
      </c>
      <c r="H158" s="387" t="str">
        <f>IF(H156="","",(H156*60/H109+$I$111*(H107-$O$102)*H110/3600*$Q$150))</f>
        <v/>
      </c>
      <c r="I158" s="387" t="str">
        <f>IF(I156="","",(I156*60/I109+$I$111*(I107-$O$102)*I110/3600*$Q$150))</f>
        <v/>
      </c>
      <c r="J158" s="235" t="s">
        <v>15</v>
      </c>
      <c r="K158" s="798" t="s">
        <v>39</v>
      </c>
      <c r="L158" s="799"/>
    </row>
    <row r="159" spans="1:18" s="2" customFormat="1" ht="3.75" customHeight="1" thickBot="1">
      <c r="A159" s="132"/>
      <c r="B159" s="451"/>
      <c r="C159" s="133"/>
      <c r="D159" s="451"/>
      <c r="E159" s="451"/>
      <c r="F159" s="451"/>
      <c r="G159" s="204"/>
      <c r="H159" s="236"/>
      <c r="I159" s="236"/>
      <c r="J159" s="466"/>
      <c r="K159" s="454"/>
      <c r="L159" s="465"/>
    </row>
    <row r="160" spans="1:18" s="2" customFormat="1" ht="24.75" customHeight="1" thickBot="1">
      <c r="A160" s="132"/>
      <c r="B160" s="451"/>
      <c r="C160" s="133"/>
      <c r="D160" s="451"/>
      <c r="E160" s="451"/>
      <c r="F160" s="451"/>
      <c r="G160" s="204"/>
      <c r="H160" s="204" t="s">
        <v>348</v>
      </c>
      <c r="I160" s="407" t="str">
        <f>IF(COUNT(H158:I158)=2,(H158+I158)/2,"")</f>
        <v/>
      </c>
      <c r="J160" s="235" t="s">
        <v>15</v>
      </c>
      <c r="K160" s="798" t="s">
        <v>39</v>
      </c>
      <c r="L160" s="799"/>
    </row>
    <row r="161" spans="1:12" s="2" customFormat="1" ht="6" customHeight="1" thickBot="1">
      <c r="A161" s="132"/>
      <c r="B161" s="133"/>
      <c r="C161" s="133"/>
      <c r="D161" s="133"/>
      <c r="E161" s="133"/>
      <c r="F161" s="133"/>
      <c r="G161" s="133"/>
      <c r="H161" s="133"/>
      <c r="I161" s="133"/>
      <c r="J161" s="133"/>
      <c r="K161" s="133"/>
      <c r="L161" s="134"/>
    </row>
    <row r="162" spans="1:12" s="2" customFormat="1" ht="19.5" customHeight="1" thickBot="1">
      <c r="A162" s="132"/>
      <c r="B162" s="133"/>
      <c r="C162" s="133"/>
      <c r="D162" s="133"/>
      <c r="E162" s="133"/>
      <c r="F162" s="133"/>
      <c r="G162" s="133"/>
      <c r="H162" s="158" t="s">
        <v>58</v>
      </c>
      <c r="I162" s="384" t="str">
        <f>IF(I160&lt;&gt;"",ABS(H158-I158)/I160,"")</f>
        <v/>
      </c>
      <c r="J162" s="235"/>
      <c r="K162" s="807"/>
      <c r="L162" s="808"/>
    </row>
    <row r="163" spans="1:12" s="2" customFormat="1" ht="19.5" customHeight="1">
      <c r="A163" s="132"/>
      <c r="B163" s="133"/>
      <c r="C163" s="133"/>
      <c r="D163" s="133"/>
      <c r="E163" s="133"/>
      <c r="F163" s="133"/>
      <c r="G163" s="133"/>
      <c r="H163" s="158"/>
      <c r="I163" s="227"/>
      <c r="J163" s="235"/>
      <c r="K163" s="459"/>
      <c r="L163" s="460"/>
    </row>
    <row r="164" spans="1:12" s="2" customFormat="1" ht="19.5" customHeight="1">
      <c r="A164" s="237"/>
      <c r="B164" s="453"/>
      <c r="C164" s="453"/>
      <c r="D164" s="453"/>
      <c r="E164" s="453"/>
      <c r="F164" s="453"/>
      <c r="G164" s="453"/>
      <c r="H164" s="453"/>
      <c r="I164" s="453"/>
      <c r="J164" s="453"/>
      <c r="K164" s="453"/>
      <c r="L164" s="238"/>
    </row>
    <row r="165" spans="1:12" s="2" customFormat="1" ht="19.5" customHeight="1">
      <c r="A165" s="237"/>
      <c r="B165" s="453"/>
      <c r="C165" s="453"/>
      <c r="D165" s="453"/>
      <c r="E165" s="453"/>
      <c r="F165" s="453"/>
      <c r="G165" s="453"/>
      <c r="H165" s="453"/>
      <c r="I165" s="453"/>
      <c r="J165" s="453"/>
      <c r="K165" s="453"/>
      <c r="L165" s="238"/>
    </row>
    <row r="166" spans="1:12" s="2" customFormat="1" ht="19.5" customHeight="1">
      <c r="A166" s="237"/>
      <c r="B166" s="453"/>
      <c r="C166" s="453"/>
      <c r="D166" s="453"/>
      <c r="E166" s="453"/>
      <c r="F166" s="453"/>
      <c r="G166" s="453"/>
      <c r="H166" s="453"/>
      <c r="I166" s="453"/>
      <c r="J166" s="453"/>
      <c r="K166" s="453"/>
      <c r="L166" s="238"/>
    </row>
    <row r="167" spans="1:12" s="2" customFormat="1" ht="19.5" customHeight="1">
      <c r="A167" s="237"/>
      <c r="B167" s="453"/>
      <c r="C167" s="453"/>
      <c r="D167" s="453"/>
      <c r="E167" s="453"/>
      <c r="F167" s="453"/>
      <c r="G167" s="453"/>
      <c r="H167" s="453"/>
      <c r="I167" s="453"/>
      <c r="J167" s="453"/>
      <c r="K167" s="453"/>
      <c r="L167" s="238"/>
    </row>
    <row r="168" spans="1:12" s="2" customFormat="1" ht="19.5" customHeight="1">
      <c r="A168" s="237"/>
      <c r="B168" s="453"/>
      <c r="C168" s="453"/>
      <c r="D168" s="453"/>
      <c r="E168" s="453"/>
      <c r="F168" s="453"/>
      <c r="G168" s="453"/>
      <c r="H168" s="453"/>
      <c r="I168" s="453"/>
      <c r="J168" s="453"/>
      <c r="K168" s="453"/>
      <c r="L168" s="238"/>
    </row>
    <row r="169" spans="1:12" s="2" customFormat="1" ht="19.5" customHeight="1">
      <c r="A169" s="237"/>
      <c r="B169" s="453"/>
      <c r="C169" s="453"/>
      <c r="D169" s="453"/>
      <c r="E169" s="453"/>
      <c r="F169" s="453"/>
      <c r="G169" s="453"/>
      <c r="H169" s="453"/>
      <c r="I169" s="453"/>
      <c r="J169" s="453"/>
      <c r="K169" s="453"/>
      <c r="L169" s="238"/>
    </row>
    <row r="170" spans="1:12" s="2" customFormat="1" ht="19.5" customHeight="1">
      <c r="A170" s="237"/>
      <c r="B170" s="453"/>
      <c r="C170" s="453"/>
      <c r="D170" s="453"/>
      <c r="E170" s="453"/>
      <c r="F170" s="453"/>
      <c r="G170" s="453"/>
      <c r="H170" s="453"/>
      <c r="I170" s="453"/>
      <c r="J170" s="453"/>
      <c r="K170" s="453"/>
      <c r="L170" s="238"/>
    </row>
    <row r="171" spans="1:12" s="2" customFormat="1" ht="19.5" customHeight="1">
      <c r="A171" s="237"/>
      <c r="B171" s="453"/>
      <c r="C171" s="453"/>
      <c r="D171" s="453"/>
      <c r="E171" s="453"/>
      <c r="F171" s="453"/>
      <c r="G171" s="453"/>
      <c r="H171" s="453"/>
      <c r="I171" s="453"/>
      <c r="J171" s="453"/>
      <c r="K171" s="453"/>
      <c r="L171" s="238"/>
    </row>
    <row r="172" spans="1:12" s="2" customFormat="1" ht="19.5" customHeight="1">
      <c r="A172" s="237"/>
      <c r="B172" s="453"/>
      <c r="C172" s="453"/>
      <c r="D172" s="453"/>
      <c r="E172" s="453"/>
      <c r="F172" s="453"/>
      <c r="G172" s="453"/>
      <c r="H172" s="453"/>
      <c r="I172" s="453"/>
      <c r="J172" s="453"/>
      <c r="K172" s="453"/>
      <c r="L172" s="238"/>
    </row>
    <row r="173" spans="1:12" s="2" customFormat="1" ht="19.5" customHeight="1">
      <c r="A173" s="237"/>
      <c r="B173" s="453"/>
      <c r="C173" s="453"/>
      <c r="D173" s="453"/>
      <c r="E173" s="453"/>
      <c r="F173" s="453"/>
      <c r="G173" s="453"/>
      <c r="H173" s="453"/>
      <c r="I173" s="453"/>
      <c r="J173" s="453"/>
      <c r="K173" s="453"/>
      <c r="L173" s="238"/>
    </row>
    <row r="174" spans="1:12" s="2" customFormat="1" ht="19.5" customHeight="1">
      <c r="A174" s="237"/>
      <c r="B174" s="453"/>
      <c r="C174" s="453"/>
      <c r="D174" s="453"/>
      <c r="E174" s="453"/>
      <c r="F174" s="453"/>
      <c r="G174" s="453"/>
      <c r="H174" s="453"/>
      <c r="I174" s="453"/>
      <c r="J174" s="453"/>
      <c r="K174" s="453"/>
      <c r="L174" s="238"/>
    </row>
    <row r="175" spans="1:12" s="2" customFormat="1" ht="19.5" customHeight="1">
      <c r="A175" s="237"/>
      <c r="B175" s="453"/>
      <c r="C175" s="453"/>
      <c r="D175" s="453"/>
      <c r="E175" s="453"/>
      <c r="F175" s="453"/>
      <c r="G175" s="453"/>
      <c r="H175" s="453"/>
      <c r="I175" s="453"/>
      <c r="J175" s="453"/>
      <c r="K175" s="453"/>
      <c r="L175" s="238"/>
    </row>
    <row r="176" spans="1:12" s="2" customFormat="1" ht="19.5" customHeight="1">
      <c r="A176" s="237"/>
      <c r="B176" s="453"/>
      <c r="C176" s="453"/>
      <c r="D176" s="453"/>
      <c r="E176" s="453"/>
      <c r="F176" s="453"/>
      <c r="G176" s="453"/>
      <c r="H176" s="453"/>
      <c r="I176" s="453"/>
      <c r="J176" s="453"/>
      <c r="K176" s="453"/>
      <c r="L176" s="238"/>
    </row>
    <row r="177" spans="1:12" s="2" customFormat="1" ht="19.5" customHeight="1">
      <c r="A177" s="237"/>
      <c r="B177" s="453"/>
      <c r="C177" s="453"/>
      <c r="D177" s="453"/>
      <c r="E177" s="453"/>
      <c r="F177" s="453"/>
      <c r="G177" s="453"/>
      <c r="H177" s="453"/>
      <c r="I177" s="453"/>
      <c r="J177" s="453"/>
      <c r="K177" s="453"/>
      <c r="L177" s="238"/>
    </row>
    <row r="178" spans="1:12" s="2" customFormat="1" ht="19.5" customHeight="1">
      <c r="A178" s="237"/>
      <c r="B178" s="453"/>
      <c r="C178" s="453"/>
      <c r="D178" s="453"/>
      <c r="E178" s="453"/>
      <c r="F178" s="453"/>
      <c r="G178" s="453"/>
      <c r="H178" s="453"/>
      <c r="I178" s="453"/>
      <c r="J178" s="453"/>
      <c r="K178" s="453"/>
      <c r="L178" s="238"/>
    </row>
    <row r="179" spans="1:12" s="2" customFormat="1" ht="19.5" customHeight="1">
      <c r="A179" s="237"/>
      <c r="B179" s="453"/>
      <c r="C179" s="453"/>
      <c r="D179" s="453"/>
      <c r="E179" s="453"/>
      <c r="F179" s="453"/>
      <c r="G179" s="453"/>
      <c r="H179" s="453"/>
      <c r="I179" s="453"/>
      <c r="J179" s="453"/>
      <c r="K179" s="453"/>
      <c r="L179" s="238"/>
    </row>
    <row r="180" spans="1:12" s="2" customFormat="1" ht="19.5" customHeight="1">
      <c r="A180" s="237"/>
      <c r="B180" s="453"/>
      <c r="C180" s="453"/>
      <c r="D180" s="453"/>
      <c r="E180" s="453"/>
      <c r="F180" s="453"/>
      <c r="G180" s="453"/>
      <c r="H180" s="453"/>
      <c r="I180" s="453"/>
      <c r="J180" s="453"/>
      <c r="K180" s="453"/>
      <c r="L180" s="238"/>
    </row>
    <row r="181" spans="1:12" s="2" customFormat="1" ht="19.5" customHeight="1">
      <c r="A181" s="237"/>
      <c r="B181" s="453"/>
      <c r="C181" s="453"/>
      <c r="D181" s="453"/>
      <c r="E181" s="453"/>
      <c r="F181" s="453"/>
      <c r="G181" s="453"/>
      <c r="H181" s="453"/>
      <c r="I181" s="453"/>
      <c r="J181" s="453"/>
      <c r="K181" s="453"/>
      <c r="L181" s="238"/>
    </row>
    <row r="182" spans="1:12" s="2" customFormat="1" ht="17.25" customHeight="1" thickBot="1">
      <c r="A182" s="269"/>
      <c r="B182" s="250"/>
      <c r="C182" s="250"/>
      <c r="D182" s="250"/>
      <c r="E182" s="250"/>
      <c r="F182" s="250"/>
      <c r="G182" s="250"/>
      <c r="H182" s="250"/>
      <c r="I182" s="250"/>
      <c r="J182" s="250"/>
      <c r="K182" s="250"/>
      <c r="L182" s="270"/>
    </row>
    <row r="183" spans="1:12" s="2" customFormat="1" ht="18" customHeight="1" thickBot="1">
      <c r="A183" s="121"/>
      <c r="B183" s="121"/>
      <c r="C183" s="121"/>
      <c r="D183" s="121"/>
      <c r="E183" s="121"/>
      <c r="F183" s="121"/>
      <c r="G183" s="121"/>
      <c r="H183" s="121"/>
      <c r="I183" s="121"/>
      <c r="J183" s="121"/>
      <c r="K183" s="121"/>
      <c r="L183" s="121"/>
    </row>
    <row r="184" spans="1:12" s="2" customFormat="1" ht="18.75" customHeight="1" thickBot="1">
      <c r="A184" s="763" t="s">
        <v>196</v>
      </c>
      <c r="B184" s="764"/>
      <c r="C184" s="764"/>
      <c r="D184" s="764"/>
      <c r="E184" s="764"/>
      <c r="F184" s="764"/>
      <c r="G184" s="764"/>
      <c r="H184" s="764"/>
      <c r="I184" s="764"/>
      <c r="J184" s="764"/>
      <c r="K184" s="764"/>
      <c r="L184" s="765"/>
    </row>
    <row r="185" spans="1:12" s="2" customFormat="1" ht="28.5" customHeight="1" thickTop="1">
      <c r="A185" s="354" t="s">
        <v>206</v>
      </c>
      <c r="B185" s="766" t="str">
        <f>+表紙!$B$3&amp;"　　（５．エネルギー消費量）"</f>
        <v>ラックコンベア洗浄機、フライトコンベア洗浄機、フラットコンベア洗浄機(選択してください)　　（５．エネルギー消費量）</v>
      </c>
      <c r="C185" s="767"/>
      <c r="D185" s="767"/>
      <c r="E185" s="767"/>
      <c r="F185" s="767"/>
      <c r="G185" s="767"/>
      <c r="H185" s="767"/>
      <c r="I185" s="767"/>
      <c r="J185" s="767"/>
      <c r="K185" s="766" t="str">
        <f>"ガス種："&amp;表紙!$K$11</f>
        <v>ガス種：選択して下さい</v>
      </c>
      <c r="L185" s="768"/>
    </row>
    <row r="186" spans="1:12" s="2" customFormat="1" ht="18" customHeight="1" thickBot="1">
      <c r="A186" s="341" t="s">
        <v>282</v>
      </c>
      <c r="B186" s="770" t="str">
        <f>IF(表紙!$B$6=0,"",表紙!$B$6)</f>
        <v/>
      </c>
      <c r="C186" s="771"/>
      <c r="D186" s="771"/>
      <c r="E186" s="771"/>
      <c r="F186" s="771"/>
      <c r="G186" s="784"/>
      <c r="H186" s="5" t="s">
        <v>1</v>
      </c>
      <c r="I186" s="770" t="str">
        <f>IF(表紙!$H$5=0,"",表紙!$H$5)</f>
        <v/>
      </c>
      <c r="J186" s="771"/>
      <c r="K186" s="771"/>
      <c r="L186" s="772"/>
    </row>
    <row r="187" spans="1:12" s="2" customFormat="1" ht="10.5" customHeight="1">
      <c r="A187" s="237"/>
      <c r="B187" s="139"/>
      <c r="C187" s="139"/>
      <c r="D187" s="139"/>
      <c r="E187" s="139"/>
      <c r="F187" s="139"/>
      <c r="G187" s="139"/>
      <c r="H187" s="139"/>
      <c r="I187" s="139"/>
      <c r="J187" s="139"/>
      <c r="K187" s="139"/>
      <c r="L187" s="238"/>
    </row>
    <row r="188" spans="1:12" s="2" customFormat="1" ht="18" customHeight="1">
      <c r="A188" s="132"/>
      <c r="B188" s="228" t="s">
        <v>77</v>
      </c>
      <c r="C188" s="133"/>
      <c r="D188" s="133"/>
      <c r="E188" s="133"/>
      <c r="F188" s="133"/>
      <c r="G188" s="133"/>
      <c r="H188" s="133"/>
      <c r="I188" s="133"/>
      <c r="J188" s="133"/>
      <c r="K188" s="133"/>
      <c r="L188" s="134"/>
    </row>
    <row r="189" spans="1:12" s="2" customFormat="1" ht="16.5" customHeight="1">
      <c r="A189" s="237"/>
      <c r="B189" s="795" t="s">
        <v>446</v>
      </c>
      <c r="C189" s="795"/>
      <c r="D189" s="795"/>
      <c r="E189" s="795"/>
      <c r="F189" s="795"/>
      <c r="G189" s="795"/>
      <c r="H189" s="795"/>
      <c r="I189" s="795"/>
      <c r="J189" s="795"/>
      <c r="K189" s="795"/>
      <c r="L189" s="238"/>
    </row>
    <row r="190" spans="1:12" s="2" customFormat="1" ht="16.5" customHeight="1">
      <c r="A190" s="237"/>
      <c r="B190" s="795"/>
      <c r="C190" s="795"/>
      <c r="D190" s="795"/>
      <c r="E190" s="795"/>
      <c r="F190" s="795"/>
      <c r="G190" s="795"/>
      <c r="H190" s="795"/>
      <c r="I190" s="795"/>
      <c r="J190" s="795"/>
      <c r="K190" s="795"/>
      <c r="L190" s="238"/>
    </row>
    <row r="191" spans="1:12" s="2" customFormat="1" ht="18" customHeight="1">
      <c r="A191" s="237"/>
      <c r="B191" s="139"/>
      <c r="C191" s="852" t="s">
        <v>447</v>
      </c>
      <c r="D191" s="852"/>
      <c r="E191" s="852"/>
      <c r="F191" s="853"/>
      <c r="G191" s="853"/>
      <c r="H191" s="853"/>
      <c r="I191" s="853"/>
      <c r="J191" s="853"/>
      <c r="K191" s="139"/>
      <c r="L191" s="238"/>
    </row>
    <row r="192" spans="1:12" s="2" customFormat="1" ht="36.75" customHeight="1">
      <c r="A192" s="237"/>
      <c r="B192" s="139"/>
      <c r="C192" s="848" t="s">
        <v>168</v>
      </c>
      <c r="D192" s="848"/>
      <c r="E192" s="848"/>
      <c r="F192" s="847" t="s">
        <v>169</v>
      </c>
      <c r="G192" s="847"/>
      <c r="H192" s="847"/>
      <c r="I192" s="847"/>
      <c r="J192" s="847"/>
      <c r="K192" s="847"/>
      <c r="L192" s="238"/>
    </row>
    <row r="193" spans="1:18" s="2" customFormat="1" ht="18.75" customHeight="1">
      <c r="A193" s="237"/>
      <c r="B193" s="139"/>
      <c r="C193" s="847" t="s">
        <v>170</v>
      </c>
      <c r="D193" s="847"/>
      <c r="E193" s="847"/>
      <c r="F193" s="847" t="s">
        <v>349</v>
      </c>
      <c r="G193" s="847"/>
      <c r="H193" s="847"/>
      <c r="I193" s="847"/>
      <c r="J193" s="847"/>
      <c r="K193" s="847"/>
      <c r="L193" s="238"/>
    </row>
    <row r="194" spans="1:18" s="2" customFormat="1" ht="18.75" customHeight="1">
      <c r="A194" s="237"/>
      <c r="B194" s="139"/>
      <c r="C194" s="847" t="s">
        <v>171</v>
      </c>
      <c r="D194" s="847"/>
      <c r="E194" s="847"/>
      <c r="F194" s="847" t="s">
        <v>350</v>
      </c>
      <c r="G194" s="847"/>
      <c r="H194" s="847"/>
      <c r="I194" s="847"/>
      <c r="J194" s="847"/>
      <c r="K194" s="847"/>
      <c r="L194" s="238"/>
    </row>
    <row r="195" spans="1:18" s="2" customFormat="1" ht="34.5" customHeight="1">
      <c r="A195" s="237"/>
      <c r="B195" s="139"/>
      <c r="C195" s="847" t="s">
        <v>172</v>
      </c>
      <c r="D195" s="847"/>
      <c r="E195" s="847"/>
      <c r="F195" s="847" t="s">
        <v>351</v>
      </c>
      <c r="G195" s="847"/>
      <c r="H195" s="847"/>
      <c r="I195" s="847"/>
      <c r="J195" s="847"/>
      <c r="K195" s="847"/>
      <c r="L195" s="238"/>
    </row>
    <row r="196" spans="1:18" s="2" customFormat="1" ht="9.75" customHeight="1" thickBot="1">
      <c r="A196" s="237"/>
      <c r="B196" s="139"/>
      <c r="C196" s="139"/>
      <c r="D196" s="139"/>
      <c r="E196" s="139"/>
      <c r="F196" s="139"/>
      <c r="G196" s="139"/>
      <c r="H196" s="139"/>
      <c r="I196" s="139"/>
      <c r="J196" s="139"/>
      <c r="K196" s="139"/>
      <c r="L196" s="238"/>
    </row>
    <row r="197" spans="1:18" s="2" customFormat="1" ht="27" customHeight="1">
      <c r="A197" s="237"/>
      <c r="B197" s="451" t="s">
        <v>352</v>
      </c>
      <c r="C197" s="451"/>
      <c r="D197" s="139"/>
      <c r="E197" s="139"/>
      <c r="F197" s="139"/>
      <c r="G197" s="139"/>
      <c r="H197" s="139"/>
      <c r="I197" s="139"/>
      <c r="J197" s="139"/>
      <c r="K197" s="139"/>
      <c r="L197" s="238"/>
      <c r="N197" s="97" t="s">
        <v>180</v>
      </c>
      <c r="O197" s="98" t="s">
        <v>32</v>
      </c>
      <c r="P197" s="98" t="s">
        <v>34</v>
      </c>
      <c r="Q197" s="99"/>
    </row>
    <row r="198" spans="1:18" s="2" customFormat="1" ht="17.25" customHeight="1">
      <c r="A198" s="237"/>
      <c r="B198" s="139"/>
      <c r="C198" s="139"/>
      <c r="D198" s="139"/>
      <c r="E198" s="139"/>
      <c r="F198" s="139"/>
      <c r="G198" s="139"/>
      <c r="H198" s="139"/>
      <c r="I198" s="139"/>
      <c r="J198" s="139"/>
      <c r="K198" s="139"/>
      <c r="L198" s="238"/>
      <c r="N198" s="100" t="s">
        <v>73</v>
      </c>
      <c r="O198" s="17" t="str">
        <f>$H$21</f>
        <v/>
      </c>
      <c r="P198" s="17" t="str">
        <f>$I$21</f>
        <v/>
      </c>
      <c r="Q198" s="24" t="s">
        <v>25</v>
      </c>
    </row>
    <row r="199" spans="1:18" s="2" customFormat="1" ht="17.25" customHeight="1">
      <c r="A199" s="237"/>
      <c r="B199" s="139"/>
      <c r="C199" s="139"/>
      <c r="D199" s="139"/>
      <c r="E199" s="139"/>
      <c r="F199" s="139"/>
      <c r="G199" s="139"/>
      <c r="H199" s="139"/>
      <c r="I199" s="139"/>
      <c r="J199" s="139"/>
      <c r="K199" s="139"/>
      <c r="L199" s="238"/>
      <c r="N199" s="100" t="s">
        <v>74</v>
      </c>
      <c r="O199" s="17" t="str">
        <f>$H$22</f>
        <v/>
      </c>
      <c r="P199" s="17" t="str">
        <f>$I$22</f>
        <v/>
      </c>
      <c r="Q199" s="24" t="s">
        <v>25</v>
      </c>
    </row>
    <row r="200" spans="1:18" s="2" customFormat="1" ht="17.25" customHeight="1">
      <c r="A200" s="237"/>
      <c r="B200" s="139"/>
      <c r="C200" s="139"/>
      <c r="D200" s="139"/>
      <c r="E200" s="139"/>
      <c r="F200" s="139"/>
      <c r="G200" s="139"/>
      <c r="H200" s="139"/>
      <c r="I200" s="139"/>
      <c r="J200" s="139"/>
      <c r="K200" s="139"/>
      <c r="L200" s="238"/>
      <c r="N200" s="100" t="s">
        <v>152</v>
      </c>
      <c r="O200" s="17">
        <f>$H$24</f>
        <v>0</v>
      </c>
      <c r="P200" s="17">
        <f>$I$24</f>
        <v>0</v>
      </c>
      <c r="Q200" s="24" t="s">
        <v>25</v>
      </c>
    </row>
    <row r="201" spans="1:18" s="2" customFormat="1" ht="18" customHeight="1">
      <c r="A201" s="237"/>
      <c r="B201" s="451" t="s">
        <v>214</v>
      </c>
      <c r="C201" s="451"/>
      <c r="D201" s="139"/>
      <c r="E201" s="139"/>
      <c r="F201" s="139"/>
      <c r="G201" s="139"/>
      <c r="H201" s="139"/>
      <c r="I201" s="139"/>
      <c r="J201" s="139"/>
      <c r="K201" s="139"/>
      <c r="L201" s="238"/>
      <c r="N201" s="100" t="s">
        <v>153</v>
      </c>
      <c r="O201" s="17">
        <f>$H$25</f>
        <v>0</v>
      </c>
      <c r="P201" s="17">
        <f>$I$25</f>
        <v>0</v>
      </c>
      <c r="Q201" s="24" t="s">
        <v>25</v>
      </c>
    </row>
    <row r="202" spans="1:18" s="2" customFormat="1" ht="18" customHeight="1">
      <c r="A202" s="237"/>
      <c r="B202" s="451" t="s">
        <v>173</v>
      </c>
      <c r="C202" s="451"/>
      <c r="D202" s="139"/>
      <c r="E202" s="139"/>
      <c r="F202" s="139"/>
      <c r="G202" s="139"/>
      <c r="H202" s="139"/>
      <c r="I202" s="139"/>
      <c r="J202" s="139"/>
      <c r="K202" s="139"/>
      <c r="L202" s="238"/>
      <c r="N202" s="100" t="s">
        <v>154</v>
      </c>
      <c r="O202" s="17">
        <f>$H$26</f>
        <v>0</v>
      </c>
      <c r="P202" s="17">
        <f>$I$26</f>
        <v>0</v>
      </c>
      <c r="Q202" s="24" t="s">
        <v>25</v>
      </c>
    </row>
    <row r="203" spans="1:18" s="2" customFormat="1" ht="18" customHeight="1">
      <c r="A203" s="237"/>
      <c r="B203" s="139"/>
      <c r="C203" s="139"/>
      <c r="D203" s="139"/>
      <c r="E203" s="139"/>
      <c r="F203" s="139"/>
      <c r="G203" s="139"/>
      <c r="H203" s="139"/>
      <c r="I203" s="139"/>
      <c r="J203" s="139"/>
      <c r="K203" s="139"/>
      <c r="L203" s="238"/>
      <c r="N203" s="100" t="s">
        <v>155</v>
      </c>
      <c r="O203" s="17">
        <f>$H$27</f>
        <v>0</v>
      </c>
      <c r="P203" s="17">
        <f>$I$27</f>
        <v>0</v>
      </c>
      <c r="Q203" s="24" t="s">
        <v>25</v>
      </c>
    </row>
    <row r="204" spans="1:18" s="2" customFormat="1" ht="18" customHeight="1">
      <c r="A204" s="237"/>
      <c r="B204" s="139"/>
      <c r="C204" s="139"/>
      <c r="D204" s="139"/>
      <c r="E204" s="139"/>
      <c r="F204" s="139"/>
      <c r="G204" s="139"/>
      <c r="H204" s="139"/>
      <c r="I204" s="139"/>
      <c r="J204" s="139"/>
      <c r="K204" s="139"/>
      <c r="L204" s="238"/>
      <c r="N204" s="100" t="s">
        <v>158</v>
      </c>
      <c r="O204" s="49" t="str">
        <f>$H$34</f>
        <v/>
      </c>
      <c r="P204" s="49" t="str">
        <f>$I$34</f>
        <v/>
      </c>
      <c r="Q204" s="12" t="s">
        <v>46</v>
      </c>
    </row>
    <row r="205" spans="1:18" s="2" customFormat="1" ht="18" customHeight="1">
      <c r="A205" s="237"/>
      <c r="B205" s="451" t="s">
        <v>174</v>
      </c>
      <c r="C205" s="451"/>
      <c r="D205" s="139"/>
      <c r="E205" s="139"/>
      <c r="F205" s="139"/>
      <c r="G205" s="139"/>
      <c r="H205" s="139"/>
      <c r="I205" s="139"/>
      <c r="J205" s="139"/>
      <c r="K205" s="139"/>
      <c r="L205" s="238"/>
      <c r="N205" s="100" t="s">
        <v>181</v>
      </c>
      <c r="O205" s="7"/>
      <c r="P205" s="94">
        <v>4.1900000000000004</v>
      </c>
      <c r="Q205" s="24" t="s">
        <v>41</v>
      </c>
    </row>
    <row r="206" spans="1:18" s="2" customFormat="1" ht="18" customHeight="1" thickBot="1">
      <c r="A206" s="237"/>
      <c r="B206" s="139"/>
      <c r="C206" s="139"/>
      <c r="D206" s="139"/>
      <c r="E206" s="139"/>
      <c r="F206" s="139"/>
      <c r="G206" s="139"/>
      <c r="H206" s="139"/>
      <c r="I206" s="139"/>
      <c r="J206" s="139"/>
      <c r="K206" s="139"/>
      <c r="L206" s="238"/>
      <c r="N206" s="101" t="s">
        <v>204</v>
      </c>
      <c r="O206" s="103" t="e">
        <f>3600*O204/($P$205*((O200-O198)*$R$214+(O201-O198)*$R$215+(O202-O198)*$R$216+(O203-O199)*$R$217))</f>
        <v>#VALUE!</v>
      </c>
      <c r="P206" s="103" t="e">
        <f>3600*P204/($P$205*((P200-P198)*$R$214+(P201-P198)*$R$215+(P202-P198)*$R$216+(P203-P199)*$R$217))</f>
        <v>#VALUE!</v>
      </c>
      <c r="Q206" s="102"/>
    </row>
    <row r="207" spans="1:18" s="2" customFormat="1" ht="18" customHeight="1">
      <c r="A207" s="237"/>
      <c r="B207" s="139"/>
      <c r="C207" s="139"/>
      <c r="D207" s="139"/>
      <c r="E207" s="139"/>
      <c r="F207" s="139"/>
      <c r="G207" s="139"/>
      <c r="H207" s="139"/>
      <c r="I207" s="139"/>
      <c r="J207" s="139"/>
      <c r="K207" s="139"/>
      <c r="L207" s="238"/>
      <c r="N207" s="7" t="str">
        <f>表紙!H11</f>
        <v>選択して下さい</v>
      </c>
      <c r="O207" s="73" t="s">
        <v>159</v>
      </c>
      <c r="P207" s="2" t="str">
        <f>表紙!O15</f>
        <v>選択して下さい</v>
      </c>
      <c r="R207" s="8"/>
    </row>
    <row r="208" spans="1:18" s="2" customFormat="1" ht="18" customHeight="1">
      <c r="A208" s="237"/>
      <c r="B208" s="139"/>
      <c r="C208" s="139"/>
      <c r="D208" s="139"/>
      <c r="E208" s="139"/>
      <c r="F208" s="139"/>
      <c r="G208" s="139"/>
      <c r="H208" s="139"/>
      <c r="I208" s="139"/>
      <c r="J208" s="139"/>
      <c r="K208" s="139"/>
      <c r="L208" s="238"/>
      <c r="N208" s="15"/>
      <c r="O208" s="45" t="s">
        <v>160</v>
      </c>
      <c r="P208" s="2" t="str">
        <f>表紙!O16</f>
        <v>選択して下さい</v>
      </c>
    </row>
    <row r="209" spans="1:18" s="2" customFormat="1" ht="14.25" customHeight="1">
      <c r="A209" s="237"/>
      <c r="B209" s="532" t="s">
        <v>353</v>
      </c>
      <c r="C209" s="532"/>
      <c r="D209" s="532"/>
      <c r="E209" s="532"/>
      <c r="F209" s="532"/>
      <c r="G209" s="532"/>
      <c r="H209" s="532"/>
      <c r="I209" s="532"/>
      <c r="J209" s="532"/>
      <c r="K209" s="532"/>
      <c r="L209" s="238"/>
      <c r="N209" s="7"/>
      <c r="O209" s="73" t="s">
        <v>161</v>
      </c>
      <c r="P209" s="2" t="str">
        <f>表紙!O17</f>
        <v>選択して下さい</v>
      </c>
      <c r="Q209" s="854"/>
    </row>
    <row r="210" spans="1:18" s="2" customFormat="1" ht="17.25" customHeight="1">
      <c r="A210" s="237"/>
      <c r="B210" s="133"/>
      <c r="C210" s="532"/>
      <c r="D210" s="532"/>
      <c r="E210" s="532"/>
      <c r="F210" s="532"/>
      <c r="G210" s="532"/>
      <c r="H210" s="532"/>
      <c r="I210" s="532"/>
      <c r="J210" s="532"/>
      <c r="K210" s="532"/>
      <c r="L210" s="238"/>
      <c r="O210" s="73" t="s">
        <v>162</v>
      </c>
      <c r="P210" s="2" t="str">
        <f>表紙!O18</f>
        <v>選択して下さい</v>
      </c>
      <c r="Q210" s="854"/>
    </row>
    <row r="211" spans="1:18" s="2" customFormat="1" ht="17.25" customHeight="1" thickBot="1">
      <c r="A211" s="237"/>
      <c r="B211" s="136" t="s">
        <v>488</v>
      </c>
      <c r="C211" s="139"/>
      <c r="D211" s="139"/>
      <c r="E211" s="139"/>
      <c r="F211" s="139"/>
      <c r="G211" s="139"/>
      <c r="H211" s="139"/>
      <c r="I211" s="139"/>
      <c r="J211" s="139"/>
      <c r="K211" s="139"/>
      <c r="L211" s="238"/>
      <c r="N211" s="2" t="s">
        <v>175</v>
      </c>
    </row>
    <row r="212" spans="1:18" s="2" customFormat="1" ht="17.25" customHeight="1" thickBot="1">
      <c r="A212" s="132"/>
      <c r="B212" s="133"/>
      <c r="C212" s="234"/>
      <c r="D212" s="234"/>
      <c r="E212" s="234"/>
      <c r="F212" s="234"/>
      <c r="G212" s="234"/>
      <c r="H212" s="133"/>
      <c r="I212" s="239"/>
      <c r="J212" s="133"/>
      <c r="K212" s="798"/>
      <c r="L212" s="799"/>
      <c r="N212" s="78" t="s">
        <v>141</v>
      </c>
      <c r="O212" s="77">
        <f>IF(表紙!$H$11="給湯接続",60,IF(表紙!$H$11="選択して下さい",0,15))</f>
        <v>0</v>
      </c>
    </row>
    <row r="213" spans="1:18" s="2" customFormat="1" ht="22.5" customHeight="1" thickBot="1">
      <c r="A213" s="132"/>
      <c r="B213" s="211" t="s">
        <v>354</v>
      </c>
      <c r="C213" s="133"/>
      <c r="D213" s="133"/>
      <c r="E213" s="133"/>
      <c r="F213" s="133"/>
      <c r="G213" s="133"/>
      <c r="H213" s="246" t="s">
        <v>365</v>
      </c>
      <c r="I213" s="388" t="str">
        <f>+表紙!H32</f>
        <v/>
      </c>
      <c r="J213" s="466" t="s">
        <v>37</v>
      </c>
      <c r="K213" s="798" t="s">
        <v>61</v>
      </c>
      <c r="L213" s="799"/>
      <c r="N213" s="7" t="s">
        <v>156</v>
      </c>
      <c r="P213" s="84" t="s">
        <v>148</v>
      </c>
      <c r="Q213" s="85" t="s">
        <v>157</v>
      </c>
      <c r="R213" s="89" t="s">
        <v>164</v>
      </c>
    </row>
    <row r="214" spans="1:18" s="2" customFormat="1" ht="19.5" customHeight="1">
      <c r="A214" s="132"/>
      <c r="B214" s="211" t="s">
        <v>355</v>
      </c>
      <c r="C214" s="133"/>
      <c r="D214" s="133"/>
      <c r="E214" s="133"/>
      <c r="F214" s="133"/>
      <c r="G214" s="133"/>
      <c r="H214" s="246" t="s">
        <v>364</v>
      </c>
      <c r="I214" s="389">
        <f>IF(表紙!J14="冷水仕上げすすぎ方式",30,45)</f>
        <v>45</v>
      </c>
      <c r="J214" s="167" t="s">
        <v>25</v>
      </c>
      <c r="K214" s="466"/>
      <c r="L214" s="134"/>
      <c r="N214" s="64" t="s">
        <v>135</v>
      </c>
      <c r="O214" s="79">
        <f>表紙!$F$15</f>
        <v>0</v>
      </c>
      <c r="P214" s="83">
        <f>IF(表紙!$H$11="給水接続",1,0)</f>
        <v>0</v>
      </c>
      <c r="Q214" s="86">
        <f>IF(表紙!$F$16="ガス",1,0)</f>
        <v>0</v>
      </c>
      <c r="R214" s="76">
        <f>O214*P214*Q214</f>
        <v>0</v>
      </c>
    </row>
    <row r="215" spans="1:18" s="2" customFormat="1" ht="18.75" customHeight="1">
      <c r="A215" s="132"/>
      <c r="B215" s="211" t="s">
        <v>105</v>
      </c>
      <c r="C215" s="133"/>
      <c r="D215" s="133"/>
      <c r="E215" s="133"/>
      <c r="F215" s="133"/>
      <c r="G215" s="133"/>
      <c r="H215" s="240"/>
      <c r="I215" s="241"/>
      <c r="J215" s="167"/>
      <c r="K215" s="466"/>
      <c r="L215" s="134"/>
      <c r="N215" s="67" t="s">
        <v>136</v>
      </c>
      <c r="O215" s="80">
        <f>表紙!$F$17</f>
        <v>0</v>
      </c>
      <c r="P215" s="82">
        <f>IF(表紙!$H$11="給水接続",1,0)</f>
        <v>0</v>
      </c>
      <c r="Q215" s="87">
        <f>IF(表紙!$F$18="ガス",1,0)</f>
        <v>0</v>
      </c>
      <c r="R215" s="74">
        <f>O215*Q215</f>
        <v>0</v>
      </c>
    </row>
    <row r="216" spans="1:18" s="2" customFormat="1" ht="18.75" customHeight="1">
      <c r="A216" s="132"/>
      <c r="B216" s="242" t="s">
        <v>90</v>
      </c>
      <c r="C216" s="133"/>
      <c r="D216" s="133"/>
      <c r="E216" s="133"/>
      <c r="F216" s="133"/>
      <c r="G216" s="133"/>
      <c r="H216" s="240"/>
      <c r="I216" s="241"/>
      <c r="J216" s="167"/>
      <c r="K216" s="466"/>
      <c r="L216" s="134"/>
      <c r="N216" s="67" t="s">
        <v>137</v>
      </c>
      <c r="O216" s="80">
        <f>表紙!$J$15</f>
        <v>0</v>
      </c>
      <c r="P216" s="82">
        <f>IF(表紙!$H$11="給水接続",1,0)</f>
        <v>0</v>
      </c>
      <c r="Q216" s="87">
        <f>IF(表紙!$J$16="ガス",1,0)</f>
        <v>0</v>
      </c>
      <c r="R216" s="74">
        <f>O216*Q216</f>
        <v>0</v>
      </c>
    </row>
    <row r="217" spans="1:18" s="2" customFormat="1" ht="23.25" customHeight="1" thickBot="1">
      <c r="A217" s="243"/>
      <c r="B217" s="451" t="s">
        <v>356</v>
      </c>
      <c r="C217" s="451"/>
      <c r="D217" s="451"/>
      <c r="E217" s="451"/>
      <c r="F217" s="451"/>
      <c r="G217" s="451"/>
      <c r="H217" s="192" t="s">
        <v>363</v>
      </c>
      <c r="I217" s="193" t="str">
        <f>IF(+表紙!B3="フラットコンベア洗浄機",0.26,IF(+表紙!B3="フライトコンベア洗浄機",0.42,IF(+表紙!C12="ﾗｯｸｺﾝﾍﾞｱ洗浄機（専用食器籠）",0.14,IF(+表紙!B3="ラックコンベア洗浄機",0.42,""))))</f>
        <v/>
      </c>
      <c r="J217" s="466" t="s">
        <v>72</v>
      </c>
      <c r="K217" s="798"/>
      <c r="L217" s="799"/>
      <c r="N217" s="69" t="s">
        <v>138</v>
      </c>
      <c r="O217" s="81">
        <f>表紙!$J$17</f>
        <v>0</v>
      </c>
      <c r="P217" s="61">
        <f>IF(表紙!$H$11="給水接続",1,0)</f>
        <v>0</v>
      </c>
      <c r="Q217" s="88">
        <f>IF(表紙!$J$18="ガス",1,0)</f>
        <v>0</v>
      </c>
      <c r="R217" s="75">
        <f>O217*Q217</f>
        <v>0</v>
      </c>
    </row>
    <row r="218" spans="1:18" s="2" customFormat="1" ht="20.25" customHeight="1" thickBot="1">
      <c r="A218" s="132"/>
      <c r="B218" s="451" t="s">
        <v>357</v>
      </c>
      <c r="C218" s="133"/>
      <c r="D218" s="451"/>
      <c r="E218" s="451"/>
      <c r="F218" s="451"/>
      <c r="G218" s="451"/>
      <c r="H218" s="192" t="s">
        <v>362</v>
      </c>
      <c r="I218" s="390" t="str">
        <f>IF(+表紙!B3="フラットコンベア洗浄機",1,IF(+表紙!B3="フライトコンベア洗浄機",1,IF(+表紙!C12="ﾗｯｸｺﾝﾍﾞｱ洗浄機（専用食器籠）",1.7,IF(+表紙!B3="ラックコンベア洗浄機",1,""))))</f>
        <v/>
      </c>
      <c r="J218" s="448" t="s">
        <v>41</v>
      </c>
      <c r="K218" s="133"/>
      <c r="L218" s="134"/>
      <c r="P218" s="95" t="s">
        <v>176</v>
      </c>
      <c r="Q218" s="96">
        <f>IF(Q215+Q216=2,1,IF(Q215+Q216=1,0.5,0))</f>
        <v>0</v>
      </c>
    </row>
    <row r="219" spans="1:18" s="2" customFormat="1" ht="19.5" customHeight="1" thickBot="1">
      <c r="A219" s="132"/>
      <c r="B219" s="451" t="s">
        <v>215</v>
      </c>
      <c r="C219" s="133"/>
      <c r="D219" s="451"/>
      <c r="E219" s="451"/>
      <c r="F219" s="451"/>
      <c r="G219" s="451"/>
      <c r="H219" s="192" t="s">
        <v>361</v>
      </c>
      <c r="I219" s="391" t="str">
        <f>IF(COUNT(I213,I214,I217,I218)=4,I218*I214*I217*I213/3600,"")</f>
        <v/>
      </c>
      <c r="J219" s="448" t="s">
        <v>179</v>
      </c>
      <c r="K219" s="133"/>
      <c r="L219" s="134"/>
      <c r="P219" s="95" t="s">
        <v>182</v>
      </c>
      <c r="Q219" s="96">
        <f>1-$Q$218</f>
        <v>1</v>
      </c>
    </row>
    <row r="220" spans="1:18" s="7" customFormat="1" ht="19.5" customHeight="1">
      <c r="A220" s="132"/>
      <c r="B220" s="451" t="s">
        <v>216</v>
      </c>
      <c r="C220" s="133"/>
      <c r="D220" s="451"/>
      <c r="E220" s="451"/>
      <c r="F220" s="451"/>
      <c r="G220" s="451"/>
      <c r="H220" s="192" t="s">
        <v>217</v>
      </c>
      <c r="I220" s="392" t="str">
        <f>IF(COUNT(O206,P206)=2,($O$206+$P$206)/2,"")</f>
        <v/>
      </c>
      <c r="J220" s="448"/>
      <c r="K220" s="133"/>
      <c r="L220" s="134"/>
      <c r="N220" s="2"/>
      <c r="O220" s="2"/>
      <c r="P220" s="2"/>
      <c r="Q220" s="2"/>
      <c r="R220" s="2"/>
    </row>
    <row r="221" spans="1:18" s="2" customFormat="1" ht="7.5" customHeight="1" thickBot="1">
      <c r="A221" s="132"/>
      <c r="B221" s="133"/>
      <c r="C221" s="133"/>
      <c r="D221" s="133"/>
      <c r="E221" s="133"/>
      <c r="F221" s="133"/>
      <c r="G221" s="133"/>
      <c r="H221" s="173"/>
      <c r="I221" s="133"/>
      <c r="J221" s="133"/>
      <c r="K221" s="133"/>
      <c r="L221" s="134"/>
    </row>
    <row r="222" spans="1:18" s="2" customFormat="1" ht="21.75" customHeight="1" thickBot="1">
      <c r="A222" s="132"/>
      <c r="B222" s="133" t="s">
        <v>492</v>
      </c>
      <c r="C222" s="133"/>
      <c r="D222" s="133"/>
      <c r="E222" s="133"/>
      <c r="F222" s="133"/>
      <c r="G222" s="133"/>
      <c r="H222" s="192" t="s">
        <v>358</v>
      </c>
      <c r="I222" s="407" t="str">
        <f>IF(COUNT(I135,I219,I220)=3,I135+$Q$218*I219*I220,"")</f>
        <v/>
      </c>
      <c r="J222" s="235" t="s">
        <v>40</v>
      </c>
      <c r="K222" s="845" t="s">
        <v>39</v>
      </c>
      <c r="L222" s="846"/>
    </row>
    <row r="223" spans="1:18" s="2" customFormat="1" ht="9" customHeight="1">
      <c r="A223" s="132"/>
      <c r="B223" s="156"/>
      <c r="C223" s="133"/>
      <c r="D223" s="133"/>
      <c r="E223" s="133"/>
      <c r="F223" s="133"/>
      <c r="G223" s="133"/>
      <c r="H223" s="204"/>
      <c r="I223" s="244"/>
      <c r="J223" s="235"/>
      <c r="K223" s="462"/>
      <c r="L223" s="463"/>
      <c r="M223" s="7"/>
      <c r="N223" s="7"/>
    </row>
    <row r="224" spans="1:18" s="7" customFormat="1" ht="22.5" customHeight="1" thickBot="1">
      <c r="A224" s="132"/>
      <c r="B224" s="136" t="s">
        <v>483</v>
      </c>
      <c r="C224" s="133"/>
      <c r="D224" s="133"/>
      <c r="E224" s="133"/>
      <c r="F224" s="133"/>
      <c r="G224" s="133"/>
      <c r="H224" s="204"/>
      <c r="I224" s="226"/>
      <c r="J224" s="235"/>
      <c r="K224" s="462"/>
      <c r="L224" s="463"/>
      <c r="N224" s="2"/>
      <c r="O224" s="2"/>
      <c r="P224" s="2"/>
      <c r="Q224" s="2"/>
      <c r="R224" s="2"/>
    </row>
    <row r="225" spans="1:18" s="2" customFormat="1" ht="21.75" customHeight="1" thickBot="1">
      <c r="A225" s="132"/>
      <c r="B225" s="133" t="s">
        <v>360</v>
      </c>
      <c r="C225" s="133"/>
      <c r="D225" s="133"/>
      <c r="E225" s="133"/>
      <c r="F225" s="133"/>
      <c r="G225" s="133"/>
      <c r="H225" s="192" t="s">
        <v>359</v>
      </c>
      <c r="I225" s="407" t="str">
        <f>IF(COUNT(I160,I219)=2,I160+$Q$219*I219,"")</f>
        <v/>
      </c>
      <c r="J225" s="235" t="s">
        <v>15</v>
      </c>
      <c r="K225" s="845" t="s">
        <v>39</v>
      </c>
      <c r="L225" s="846"/>
    </row>
    <row r="226" spans="1:18" s="2" customFormat="1" ht="9" customHeight="1">
      <c r="A226" s="132"/>
      <c r="B226" s="133"/>
      <c r="C226" s="133"/>
      <c r="D226" s="133"/>
      <c r="E226" s="133"/>
      <c r="F226" s="133"/>
      <c r="G226" s="133"/>
      <c r="H226" s="192"/>
      <c r="I226" s="422"/>
      <c r="J226" s="235"/>
      <c r="K226" s="462"/>
      <c r="L226" s="467"/>
    </row>
    <row r="227" spans="1:18" s="2" customFormat="1" ht="12" customHeight="1" thickBot="1">
      <c r="A227" s="172"/>
      <c r="B227" s="153"/>
      <c r="C227" s="153"/>
      <c r="D227" s="153"/>
      <c r="E227" s="153"/>
      <c r="F227" s="153"/>
      <c r="G227" s="153"/>
      <c r="H227" s="153"/>
      <c r="I227" s="153"/>
      <c r="J227" s="153"/>
      <c r="K227" s="153"/>
      <c r="L227" s="154"/>
    </row>
    <row r="228" spans="1:18" s="2" customFormat="1" ht="9" customHeight="1" thickBot="1">
      <c r="A228" s="111"/>
      <c r="B228" s="111"/>
      <c r="C228" s="111"/>
      <c r="D228" s="111"/>
      <c r="E228" s="111"/>
      <c r="F228" s="111"/>
      <c r="G228" s="111"/>
      <c r="H228" s="111"/>
      <c r="I228" s="111"/>
      <c r="J228" s="111"/>
      <c r="K228" s="111"/>
      <c r="L228" s="111"/>
    </row>
    <row r="229" spans="1:18" s="7" customFormat="1" ht="18.75" customHeight="1" thickBot="1">
      <c r="A229" s="763" t="s">
        <v>196</v>
      </c>
      <c r="B229" s="764"/>
      <c r="C229" s="764"/>
      <c r="D229" s="764"/>
      <c r="E229" s="764"/>
      <c r="F229" s="764"/>
      <c r="G229" s="764"/>
      <c r="H229" s="764"/>
      <c r="I229" s="764"/>
      <c r="J229" s="764"/>
      <c r="K229" s="764"/>
      <c r="L229" s="765"/>
      <c r="N229" s="2"/>
      <c r="O229" s="2"/>
      <c r="P229" s="2"/>
      <c r="Q229" s="2"/>
      <c r="R229" s="2"/>
    </row>
    <row r="230" spans="1:18" s="7" customFormat="1" ht="28.5" customHeight="1" thickTop="1">
      <c r="A230" s="354" t="s">
        <v>206</v>
      </c>
      <c r="B230" s="766" t="str">
        <f>+表紙!$B$3&amp;"　　（５．エネルギー消費量）"</f>
        <v>ラックコンベア洗浄機、フライトコンベア洗浄機、フラットコンベア洗浄機(選択してください)　　（５．エネルギー消費量）</v>
      </c>
      <c r="C230" s="767"/>
      <c r="D230" s="767"/>
      <c r="E230" s="767"/>
      <c r="F230" s="767"/>
      <c r="G230" s="767"/>
      <c r="H230" s="767"/>
      <c r="I230" s="767"/>
      <c r="J230" s="767"/>
      <c r="K230" s="766" t="str">
        <f>"ガス種："&amp;表紙!$K$11</f>
        <v>ガス種：選択して下さい</v>
      </c>
      <c r="L230" s="768"/>
      <c r="N230" s="2"/>
      <c r="O230" s="2"/>
      <c r="P230" s="2"/>
      <c r="Q230" s="2"/>
      <c r="R230" s="2"/>
    </row>
    <row r="231" spans="1:18" s="7" customFormat="1" ht="18" customHeight="1" thickBot="1">
      <c r="A231" s="341" t="s">
        <v>282</v>
      </c>
      <c r="B231" s="770" t="str">
        <f>IF(表紙!$B$6=0,"",表紙!$B$6)</f>
        <v/>
      </c>
      <c r="C231" s="771"/>
      <c r="D231" s="771"/>
      <c r="E231" s="771"/>
      <c r="F231" s="771"/>
      <c r="G231" s="784"/>
      <c r="H231" s="5" t="s">
        <v>1</v>
      </c>
      <c r="I231" s="770" t="str">
        <f>IF(表紙!$H$5=0,"",表紙!$H$5)</f>
        <v/>
      </c>
      <c r="J231" s="771"/>
      <c r="K231" s="771"/>
      <c r="L231" s="772"/>
      <c r="N231" s="2"/>
      <c r="O231" s="2"/>
      <c r="P231" s="2"/>
      <c r="Q231" s="2"/>
      <c r="R231" s="2"/>
    </row>
    <row r="232" spans="1:18" s="7" customFormat="1" ht="5.25" customHeight="1">
      <c r="A232" s="132"/>
      <c r="B232" s="133"/>
      <c r="C232" s="133"/>
      <c r="D232" s="133"/>
      <c r="E232" s="133"/>
      <c r="F232" s="133"/>
      <c r="G232" s="133"/>
      <c r="H232" s="133"/>
      <c r="I232" s="133"/>
      <c r="J232" s="133"/>
      <c r="K232" s="133"/>
      <c r="L232" s="134"/>
      <c r="N232" s="2"/>
      <c r="O232" s="2"/>
      <c r="P232" s="2"/>
      <c r="Q232" s="2"/>
      <c r="R232" s="2"/>
    </row>
    <row r="233" spans="1:18" s="7" customFormat="1" ht="17.25" customHeight="1">
      <c r="A233" s="132"/>
      <c r="B233" s="245" t="s">
        <v>78</v>
      </c>
      <c r="C233" s="133"/>
      <c r="D233" s="133"/>
      <c r="E233" s="133"/>
      <c r="F233" s="133"/>
      <c r="G233" s="133"/>
      <c r="H233" s="133"/>
      <c r="I233" s="133"/>
      <c r="J233" s="133"/>
      <c r="K233" s="133"/>
      <c r="L233" s="134"/>
      <c r="N233" s="2"/>
      <c r="O233" s="2"/>
      <c r="P233" s="2"/>
      <c r="Q233" s="2"/>
      <c r="R233" s="2"/>
    </row>
    <row r="234" spans="1:18" s="7" customFormat="1" ht="33" customHeight="1">
      <c r="A234" s="132"/>
      <c r="B234" s="788" t="s">
        <v>520</v>
      </c>
      <c r="C234" s="788"/>
      <c r="D234" s="788"/>
      <c r="E234" s="788"/>
      <c r="F234" s="788"/>
      <c r="G234" s="788"/>
      <c r="H234" s="788"/>
      <c r="I234" s="788"/>
      <c r="J234" s="788"/>
      <c r="K234" s="788"/>
      <c r="L234" s="134"/>
      <c r="N234" s="2"/>
      <c r="O234" s="2"/>
      <c r="P234" s="2"/>
      <c r="Q234" s="2"/>
      <c r="R234" s="2"/>
    </row>
    <row r="235" spans="1:18" s="7" customFormat="1" ht="22.5" customHeight="1">
      <c r="A235" s="132"/>
      <c r="B235" s="788"/>
      <c r="C235" s="788"/>
      <c r="D235" s="788"/>
      <c r="E235" s="788"/>
      <c r="F235" s="788"/>
      <c r="G235" s="788"/>
      <c r="H235" s="788"/>
      <c r="I235" s="788"/>
      <c r="J235" s="788"/>
      <c r="K235" s="788"/>
      <c r="L235" s="134"/>
      <c r="N235" s="2"/>
      <c r="O235" s="2"/>
      <c r="P235" s="2"/>
      <c r="Q235" s="2"/>
      <c r="R235" s="2"/>
    </row>
    <row r="236" spans="1:18" s="7" customFormat="1" ht="78.75" customHeight="1">
      <c r="A236" s="132"/>
      <c r="B236" s="788"/>
      <c r="C236" s="788"/>
      <c r="D236" s="788"/>
      <c r="E236" s="788"/>
      <c r="F236" s="788"/>
      <c r="G236" s="788"/>
      <c r="H236" s="788"/>
      <c r="I236" s="788"/>
      <c r="J236" s="788"/>
      <c r="K236" s="788"/>
      <c r="L236" s="134"/>
      <c r="N236" s="2"/>
      <c r="O236" s="2"/>
      <c r="P236" s="2"/>
      <c r="Q236" s="2"/>
      <c r="R236" s="2"/>
    </row>
    <row r="237" spans="1:18" s="7" customFormat="1" ht="20.25" customHeight="1">
      <c r="A237" s="132"/>
      <c r="B237" s="133"/>
      <c r="C237" s="133"/>
      <c r="D237" s="133"/>
      <c r="E237" s="133"/>
      <c r="F237" s="133"/>
      <c r="G237" s="133"/>
      <c r="H237" s="133"/>
      <c r="I237" s="133"/>
      <c r="J237" s="133"/>
      <c r="K237" s="133"/>
      <c r="L237" s="134"/>
      <c r="N237" s="2"/>
      <c r="O237" s="2"/>
      <c r="P237" s="2"/>
      <c r="Q237" s="2"/>
      <c r="R237" s="2"/>
    </row>
    <row r="238" spans="1:18" s="7" customFormat="1" ht="12" customHeight="1">
      <c r="A238" s="132"/>
      <c r="B238" s="133"/>
      <c r="C238" s="133"/>
      <c r="D238" s="133"/>
      <c r="E238" s="133"/>
      <c r="F238" s="133"/>
      <c r="G238" s="133"/>
      <c r="H238" s="133"/>
      <c r="I238" s="133"/>
      <c r="J238" s="133"/>
      <c r="K238" s="133"/>
      <c r="L238" s="134"/>
      <c r="N238" s="2"/>
      <c r="O238" s="2"/>
      <c r="P238" s="2"/>
      <c r="Q238" s="2"/>
      <c r="R238" s="2"/>
    </row>
    <row r="239" spans="1:18" s="7" customFormat="1" ht="16.5" customHeight="1">
      <c r="A239" s="132"/>
      <c r="B239" s="136" t="s">
        <v>484</v>
      </c>
      <c r="C239" s="133"/>
      <c r="D239" s="133"/>
      <c r="E239" s="133"/>
      <c r="F239" s="133"/>
      <c r="G239" s="133"/>
      <c r="H239" s="133"/>
      <c r="I239" s="133"/>
      <c r="J239" s="133"/>
      <c r="K239" s="133"/>
      <c r="L239" s="134"/>
      <c r="N239" s="2"/>
      <c r="O239" s="2"/>
      <c r="P239" s="2"/>
      <c r="Q239" s="2"/>
      <c r="R239" s="2"/>
    </row>
    <row r="240" spans="1:18" s="7" customFormat="1" ht="19.5" customHeight="1">
      <c r="A240" s="132"/>
      <c r="B240" s="133" t="s">
        <v>497</v>
      </c>
      <c r="C240" s="133"/>
      <c r="D240" s="133"/>
      <c r="E240" s="143"/>
      <c r="F240" s="143"/>
      <c r="G240" s="485"/>
      <c r="H240" s="485"/>
      <c r="I240" s="485"/>
      <c r="J240" s="485"/>
      <c r="K240" s="485"/>
      <c r="L240" s="134"/>
      <c r="N240" s="2"/>
      <c r="O240" s="2"/>
      <c r="P240" s="2"/>
      <c r="Q240" s="2"/>
      <c r="R240" s="2"/>
    </row>
    <row r="241" spans="1:18" s="7" customFormat="1" ht="15" customHeight="1">
      <c r="A241" s="132"/>
      <c r="B241" s="139"/>
      <c r="C241" s="483"/>
      <c r="D241" s="143"/>
      <c r="E241" s="483"/>
      <c r="F241" s="483"/>
      <c r="G241" s="483"/>
      <c r="H241" s="483"/>
      <c r="I241" s="483"/>
      <c r="J241" s="483"/>
      <c r="K241" s="483"/>
      <c r="L241" s="134"/>
      <c r="N241" s="2"/>
      <c r="O241" s="2"/>
      <c r="P241" s="2"/>
      <c r="Q241" s="2"/>
      <c r="R241" s="2"/>
    </row>
    <row r="242" spans="1:18" s="7" customFormat="1" ht="15" customHeight="1">
      <c r="A242" s="132"/>
      <c r="B242" s="139"/>
      <c r="C242" s="483"/>
      <c r="D242" s="483"/>
      <c r="E242" s="483"/>
      <c r="F242" s="483"/>
      <c r="G242" s="483"/>
      <c r="H242" s="133"/>
      <c r="I242" s="133"/>
      <c r="J242" s="483"/>
      <c r="K242" s="483"/>
      <c r="L242" s="134"/>
      <c r="N242" s="2"/>
      <c r="O242" s="2"/>
      <c r="P242" s="2"/>
      <c r="Q242" s="2"/>
      <c r="R242" s="2"/>
    </row>
    <row r="243" spans="1:18" s="7" customFormat="1" ht="14.25" customHeight="1">
      <c r="A243" s="132"/>
      <c r="B243" s="139"/>
      <c r="C243" s="483"/>
      <c r="D243" s="483"/>
      <c r="E243" s="483"/>
      <c r="F243" s="483"/>
      <c r="G243" s="483"/>
      <c r="H243" s="144" t="s">
        <v>32</v>
      </c>
      <c r="I243" s="232" t="s">
        <v>34</v>
      </c>
      <c r="J243" s="483"/>
      <c r="K243" s="483"/>
      <c r="L243" s="134"/>
      <c r="N243" s="2"/>
      <c r="O243" s="2"/>
      <c r="P243" s="2"/>
      <c r="Q243" s="2"/>
      <c r="R243" s="2"/>
    </row>
    <row r="244" spans="1:18" s="7" customFormat="1" ht="18" customHeight="1">
      <c r="A244" s="132"/>
      <c r="B244" s="525" t="s">
        <v>504</v>
      </c>
      <c r="C244" s="525"/>
      <c r="D244" s="146"/>
      <c r="E244" s="146"/>
      <c r="F244" s="526"/>
      <c r="G244" s="527" t="s">
        <v>367</v>
      </c>
      <c r="H244" s="371"/>
      <c r="I244" s="371"/>
      <c r="J244" s="529" t="s">
        <v>184</v>
      </c>
      <c r="K244" s="798" t="s">
        <v>20</v>
      </c>
      <c r="L244" s="799"/>
      <c r="N244" s="2"/>
      <c r="O244" s="2"/>
      <c r="P244" s="2"/>
      <c r="Q244" s="2"/>
      <c r="R244" s="2"/>
    </row>
    <row r="245" spans="1:18" s="7" customFormat="1" ht="18" customHeight="1">
      <c r="A245" s="132"/>
      <c r="B245" s="530" t="s">
        <v>374</v>
      </c>
      <c r="C245" s="530"/>
      <c r="D245" s="146"/>
      <c r="E245" s="146"/>
      <c r="F245" s="443"/>
      <c r="G245" s="527" t="s">
        <v>368</v>
      </c>
      <c r="H245" s="372"/>
      <c r="I245" s="372"/>
      <c r="J245" s="529" t="s">
        <v>511</v>
      </c>
      <c r="K245" s="798" t="s">
        <v>39</v>
      </c>
      <c r="L245" s="799"/>
      <c r="N245" s="2"/>
      <c r="O245" s="2"/>
      <c r="P245" s="2"/>
      <c r="Q245" s="2"/>
      <c r="R245" s="2"/>
    </row>
    <row r="246" spans="1:18" s="7" customFormat="1" ht="18" customHeight="1">
      <c r="A246" s="132"/>
      <c r="B246" s="530" t="s">
        <v>377</v>
      </c>
      <c r="C246" s="530"/>
      <c r="D246" s="146"/>
      <c r="E246" s="146"/>
      <c r="F246" s="146"/>
      <c r="G246" s="527" t="s">
        <v>369</v>
      </c>
      <c r="H246" s="373"/>
      <c r="I246" s="373"/>
      <c r="J246" s="529" t="s">
        <v>510</v>
      </c>
      <c r="K246" s="798" t="s">
        <v>61</v>
      </c>
      <c r="L246" s="799"/>
      <c r="N246" s="2"/>
      <c r="O246" s="2"/>
      <c r="P246" s="2"/>
      <c r="Q246" s="2"/>
      <c r="R246" s="2"/>
    </row>
    <row r="247" spans="1:18" s="7" customFormat="1" ht="18" customHeight="1">
      <c r="A247" s="132"/>
      <c r="B247" s="530" t="s">
        <v>376</v>
      </c>
      <c r="C247" s="530"/>
      <c r="D247" s="530"/>
      <c r="E247" s="530"/>
      <c r="F247" s="146"/>
      <c r="G247" s="527" t="s">
        <v>370</v>
      </c>
      <c r="H247" s="374"/>
      <c r="I247" s="374"/>
      <c r="J247" s="529" t="s">
        <v>128</v>
      </c>
      <c r="K247" s="798" t="s">
        <v>16</v>
      </c>
      <c r="L247" s="799"/>
      <c r="N247" s="2"/>
      <c r="O247" s="2"/>
      <c r="P247" s="2"/>
      <c r="Q247" s="2"/>
      <c r="R247" s="2"/>
    </row>
    <row r="248" spans="1:18" s="7" customFormat="1" ht="18" customHeight="1">
      <c r="A248" s="132"/>
      <c r="B248" s="530" t="s">
        <v>375</v>
      </c>
      <c r="C248" s="530"/>
      <c r="D248" s="530"/>
      <c r="E248" s="530"/>
      <c r="F248" s="146"/>
      <c r="G248" s="527" t="s">
        <v>371</v>
      </c>
      <c r="H248" s="375"/>
      <c r="I248" s="375"/>
      <c r="J248" s="529" t="s">
        <v>129</v>
      </c>
      <c r="K248" s="798" t="s">
        <v>20</v>
      </c>
      <c r="L248" s="799"/>
      <c r="N248" s="2"/>
      <c r="O248" s="2"/>
      <c r="P248" s="2"/>
      <c r="Q248" s="2"/>
      <c r="R248" s="2"/>
    </row>
    <row r="249" spans="1:18" s="7" customFormat="1" ht="18" customHeight="1">
      <c r="A249" s="132"/>
      <c r="B249" s="531" t="s">
        <v>337</v>
      </c>
      <c r="C249" s="531"/>
      <c r="D249" s="531"/>
      <c r="E249" s="531"/>
      <c r="F249" s="146"/>
      <c r="G249" s="527" t="s">
        <v>372</v>
      </c>
      <c r="H249" s="375"/>
      <c r="I249" s="375"/>
      <c r="J249" s="529" t="s">
        <v>129</v>
      </c>
      <c r="K249" s="798" t="s">
        <v>20</v>
      </c>
      <c r="L249" s="799"/>
      <c r="N249" s="2"/>
      <c r="O249" s="2"/>
      <c r="P249" s="2"/>
      <c r="Q249" s="2"/>
      <c r="R249" s="2"/>
    </row>
    <row r="250" spans="1:18" s="7" customFormat="1" ht="18" customHeight="1">
      <c r="A250" s="132"/>
      <c r="B250" s="531" t="s">
        <v>378</v>
      </c>
      <c r="C250" s="531"/>
      <c r="D250" s="531"/>
      <c r="E250" s="531"/>
      <c r="F250" s="146"/>
      <c r="G250" s="527" t="s">
        <v>373</v>
      </c>
      <c r="H250" s="495" t="str">
        <f>IF(COUNTBLANK(H244:H249)=0,IF(H252="乾　式","0.00",10^(7.203-1735.74/(H247+234))),"")</f>
        <v/>
      </c>
      <c r="I250" s="495" t="str">
        <f>IF(COUNTBLANK(I244:I249)=0,IF(H252="乾　式","0.00",10^(7.203-1735.74/(I247+234))),"")</f>
        <v/>
      </c>
      <c r="J250" s="529" t="s">
        <v>129</v>
      </c>
      <c r="K250" s="798" t="s">
        <v>20</v>
      </c>
      <c r="L250" s="799"/>
      <c r="N250" s="2"/>
      <c r="O250" s="2"/>
      <c r="P250" s="2"/>
      <c r="Q250" s="2"/>
      <c r="R250" s="2"/>
    </row>
    <row r="251" spans="1:18" s="7" customFormat="1" ht="3" customHeight="1">
      <c r="A251" s="132"/>
      <c r="B251" s="139"/>
      <c r="C251" s="490"/>
      <c r="D251" s="490"/>
      <c r="E251" s="490"/>
      <c r="F251" s="493"/>
      <c r="G251" s="524"/>
      <c r="H251" s="497"/>
      <c r="I251" s="497"/>
      <c r="J251" s="486"/>
      <c r="K251" s="449"/>
      <c r="L251" s="450"/>
      <c r="N251" s="2"/>
      <c r="O251" s="2"/>
      <c r="P251" s="2"/>
      <c r="Q251" s="2"/>
      <c r="R251" s="2"/>
    </row>
    <row r="252" spans="1:18" s="7" customFormat="1" ht="18" customHeight="1">
      <c r="A252" s="132"/>
      <c r="B252" s="334" t="s">
        <v>474</v>
      </c>
      <c r="C252" s="483"/>
      <c r="D252" s="843"/>
      <c r="E252" s="844"/>
      <c r="F252" s="844"/>
      <c r="G252" s="844"/>
      <c r="H252" s="548" t="s">
        <v>533</v>
      </c>
      <c r="I252" s="533"/>
      <c r="J252" s="486"/>
      <c r="K252" s="483"/>
      <c r="L252" s="134"/>
      <c r="N252" s="2"/>
      <c r="O252" s="2"/>
      <c r="P252" s="2"/>
      <c r="Q252" s="2"/>
      <c r="R252" s="2"/>
    </row>
    <row r="253" spans="1:18" s="7" customFormat="1" ht="18.75" customHeight="1">
      <c r="A253" s="132"/>
      <c r="B253" s="451" t="s">
        <v>477</v>
      </c>
      <c r="C253" s="133"/>
      <c r="D253" s="451"/>
      <c r="E253" s="451"/>
      <c r="F253" s="451"/>
      <c r="G253" s="451"/>
      <c r="H253" s="451"/>
      <c r="I253" s="451"/>
      <c r="J253" s="451"/>
      <c r="K253" s="451"/>
      <c r="L253" s="300"/>
      <c r="N253" s="2"/>
      <c r="O253" s="2"/>
      <c r="P253" s="2"/>
      <c r="Q253" s="2"/>
      <c r="R253" s="2"/>
    </row>
    <row r="254" spans="1:18" s="7" customFormat="1" ht="18.75" customHeight="1">
      <c r="A254" s="132"/>
      <c r="B254" s="451" t="s">
        <v>478</v>
      </c>
      <c r="C254" s="133"/>
      <c r="D254" s="451"/>
      <c r="E254" s="451"/>
      <c r="F254" s="451"/>
      <c r="G254" s="451"/>
      <c r="H254" s="451"/>
      <c r="I254" s="451"/>
      <c r="J254" s="451"/>
      <c r="K254" s="451"/>
      <c r="L254" s="503"/>
      <c r="N254" s="2"/>
      <c r="O254" s="2"/>
      <c r="P254" s="2"/>
      <c r="Q254" s="2"/>
      <c r="R254" s="2"/>
    </row>
    <row r="255" spans="1:18" s="7" customFormat="1" ht="15.75" customHeight="1">
      <c r="A255" s="132"/>
      <c r="B255" s="139"/>
      <c r="C255" s="786"/>
      <c r="D255" s="787"/>
      <c r="E255" s="787"/>
      <c r="F255" s="787"/>
      <c r="G255" s="787"/>
      <c r="H255" s="787"/>
      <c r="I255" s="144"/>
      <c r="J255" s="133"/>
      <c r="K255" s="133"/>
      <c r="L255" s="141"/>
      <c r="N255" s="2"/>
      <c r="O255" s="2"/>
      <c r="P255" s="2"/>
      <c r="Q255" s="2"/>
      <c r="R255" s="2"/>
    </row>
    <row r="256" spans="1:18" s="7" customFormat="1" ht="15.75" customHeight="1">
      <c r="A256" s="132"/>
      <c r="B256" s="139"/>
      <c r="C256" s="451"/>
      <c r="D256" s="146"/>
      <c r="E256" s="146"/>
      <c r="F256" s="146"/>
      <c r="G256" s="146"/>
      <c r="H256" s="133"/>
      <c r="I256" s="133"/>
      <c r="J256" s="133"/>
      <c r="K256" s="133"/>
      <c r="L256" s="141"/>
      <c r="N256" s="2"/>
      <c r="O256" s="2"/>
      <c r="P256" s="2"/>
      <c r="Q256" s="2"/>
      <c r="R256" s="2"/>
    </row>
    <row r="257" spans="1:19" s="7" customFormat="1">
      <c r="A257" s="132"/>
      <c r="B257" s="139"/>
      <c r="C257" s="451"/>
      <c r="D257" s="146"/>
      <c r="E257" s="146"/>
      <c r="F257" s="146"/>
      <c r="G257" s="146"/>
      <c r="H257" s="144" t="s">
        <v>32</v>
      </c>
      <c r="I257" s="232" t="s">
        <v>34</v>
      </c>
      <c r="J257" s="133"/>
      <c r="K257" s="133"/>
      <c r="L257" s="141"/>
      <c r="N257" s="2"/>
      <c r="O257" s="2"/>
      <c r="P257" s="2"/>
      <c r="Q257" s="2"/>
      <c r="R257" s="2"/>
    </row>
    <row r="258" spans="1:19" s="7" customFormat="1" ht="18" customHeight="1">
      <c r="A258" s="132"/>
      <c r="B258" s="334" t="s">
        <v>366</v>
      </c>
      <c r="C258" s="451"/>
      <c r="D258" s="146"/>
      <c r="E258" s="146"/>
      <c r="F258" s="493"/>
      <c r="G258" s="192" t="s">
        <v>386</v>
      </c>
      <c r="H258" s="393" t="str">
        <f>IF(COUNTBLANK(H245:H249)=0,(H245*H246*(H248+H249-H250)*273/3600/101.3/(273+H247)),"")</f>
        <v/>
      </c>
      <c r="I258" s="393" t="str">
        <f>IF(COUNTBLANK(I245:I249)=0,(I245*I246*(I248+I249-I250)*273/3600/101.3/(273+I247)),"")</f>
        <v/>
      </c>
      <c r="J258" s="466" t="s">
        <v>177</v>
      </c>
      <c r="K258" s="798" t="s">
        <v>39</v>
      </c>
      <c r="L258" s="799"/>
      <c r="N258" s="2"/>
      <c r="O258" s="2"/>
      <c r="P258" s="2"/>
      <c r="Q258" s="2"/>
      <c r="R258" s="2"/>
    </row>
    <row r="259" spans="1:19" s="2" customFormat="1" ht="5.25" customHeight="1" thickBot="1">
      <c r="A259" s="132"/>
      <c r="B259" s="133"/>
      <c r="C259" s="133"/>
      <c r="D259" s="133"/>
      <c r="E259" s="133"/>
      <c r="F259" s="133"/>
      <c r="G259" s="173"/>
      <c r="H259" s="7"/>
      <c r="I259" s="7"/>
      <c r="J259" s="133"/>
      <c r="K259" s="464"/>
      <c r="L259" s="465"/>
      <c r="M259" s="7"/>
      <c r="N259" s="7"/>
      <c r="O259" s="7"/>
      <c r="P259" s="7"/>
      <c r="Q259" s="7"/>
      <c r="S259" s="7"/>
    </row>
    <row r="260" spans="1:19" s="2" customFormat="1" ht="19.5" customHeight="1" thickBot="1">
      <c r="A260" s="132"/>
      <c r="B260" s="133" t="s">
        <v>493</v>
      </c>
      <c r="C260" s="133"/>
      <c r="D260" s="451"/>
      <c r="E260" s="451"/>
      <c r="F260" s="451"/>
      <c r="G260" s="192" t="s">
        <v>379</v>
      </c>
      <c r="H260" s="394" t="str">
        <f>IF(COUNT(H258,H244)=2,H258*60/H244,"")</f>
        <v/>
      </c>
      <c r="I260" s="394" t="str">
        <f>IF(COUNT(I258,I244)=2,I258*60/I244,"")</f>
        <v/>
      </c>
      <c r="J260" s="235" t="s">
        <v>15</v>
      </c>
      <c r="K260" s="798" t="s">
        <v>39</v>
      </c>
      <c r="L260" s="799"/>
      <c r="N260" s="7"/>
      <c r="O260" s="7"/>
      <c r="P260" s="7"/>
      <c r="Q260" s="7"/>
      <c r="R260" s="7"/>
    </row>
    <row r="261" spans="1:19" s="7" customFormat="1" ht="4.5" customHeight="1" thickBot="1">
      <c r="A261" s="132"/>
      <c r="B261" s="451"/>
      <c r="C261" s="133"/>
      <c r="D261" s="451"/>
      <c r="E261" s="451"/>
      <c r="F261" s="451"/>
      <c r="G261" s="192"/>
      <c r="H261" s="247"/>
      <c r="I261" s="23"/>
      <c r="J261" s="466"/>
      <c r="K261" s="454"/>
      <c r="L261" s="455"/>
      <c r="O261" s="2"/>
      <c r="P261" s="2"/>
      <c r="Q261" s="2"/>
      <c r="R261" s="2"/>
    </row>
    <row r="262" spans="1:19" s="2" customFormat="1" ht="24.75" customHeight="1" thickBot="1">
      <c r="A262" s="132"/>
      <c r="B262" s="451"/>
      <c r="C262" s="133"/>
      <c r="D262" s="451"/>
      <c r="E262" s="451"/>
      <c r="F262" s="451"/>
      <c r="G262" s="204"/>
      <c r="H262" s="204" t="s">
        <v>380</v>
      </c>
      <c r="I262" s="421" t="str">
        <f>IF(COUNT(H260:I260)=2,(H260+I260)/2,"")</f>
        <v/>
      </c>
      <c r="J262" s="235" t="s">
        <v>15</v>
      </c>
      <c r="K262" s="798" t="s">
        <v>39</v>
      </c>
      <c r="L262" s="799"/>
      <c r="M262" s="7"/>
      <c r="R262" s="7"/>
    </row>
    <row r="263" spans="1:19" s="2" customFormat="1" ht="5.25" customHeight="1" thickBot="1">
      <c r="A263" s="132"/>
      <c r="B263" s="451"/>
      <c r="C263" s="133"/>
      <c r="D263" s="451"/>
      <c r="E263" s="451"/>
      <c r="F263" s="451"/>
      <c r="G263" s="204"/>
      <c r="H263" s="204"/>
      <c r="I263" s="23"/>
      <c r="J263" s="235"/>
      <c r="K263" s="462"/>
      <c r="L263" s="467"/>
    </row>
    <row r="264" spans="1:19" s="2" customFormat="1" ht="19.5" customHeight="1" thickBot="1">
      <c r="A264" s="132"/>
      <c r="B264" s="451"/>
      <c r="C264" s="133"/>
      <c r="D264" s="451"/>
      <c r="E264" s="451"/>
      <c r="F264" s="451"/>
      <c r="G264" s="204"/>
      <c r="H264" s="158" t="s">
        <v>58</v>
      </c>
      <c r="I264" s="395" t="str">
        <f>IF(I262&lt;&gt;"",ABS(H260-I260)/I262,"")</f>
        <v/>
      </c>
      <c r="J264" s="468" t="s">
        <v>505</v>
      </c>
      <c r="K264" s="462"/>
      <c r="L264" s="467"/>
    </row>
    <row r="265" spans="1:19" s="2" customFormat="1" ht="4.5" customHeight="1">
      <c r="A265" s="132"/>
      <c r="B265" s="451"/>
      <c r="C265" s="133"/>
      <c r="D265" s="451"/>
      <c r="E265" s="451"/>
      <c r="F265" s="451"/>
      <c r="G265" s="204"/>
      <c r="H265" s="158"/>
      <c r="I265" s="227"/>
      <c r="J265" s="235"/>
      <c r="K265" s="462"/>
      <c r="L265" s="467"/>
    </row>
    <row r="266" spans="1:19" s="2" customFormat="1" ht="17.25">
      <c r="A266" s="132"/>
      <c r="B266" s="136" t="s">
        <v>485</v>
      </c>
      <c r="C266" s="133"/>
      <c r="D266" s="451"/>
      <c r="E266" s="451"/>
      <c r="F266" s="451"/>
      <c r="G266" s="204"/>
      <c r="H266" s="158"/>
      <c r="I266" s="227"/>
      <c r="J266" s="235"/>
      <c r="K266" s="462"/>
      <c r="L266" s="467"/>
    </row>
    <row r="267" spans="1:19" s="2" customFormat="1" ht="14.25" customHeight="1">
      <c r="A267" s="132"/>
      <c r="B267" s="133"/>
      <c r="C267" s="133"/>
      <c r="D267" s="133"/>
      <c r="E267" s="133"/>
      <c r="F267" s="133"/>
      <c r="G267" s="133"/>
      <c r="H267" s="144" t="s">
        <v>32</v>
      </c>
      <c r="I267" s="144" t="s">
        <v>34</v>
      </c>
      <c r="J267" s="133"/>
      <c r="K267" s="133"/>
      <c r="L267" s="134"/>
      <c r="N267" s="18"/>
      <c r="O267" s="20"/>
      <c r="P267" s="21"/>
      <c r="Q267" s="18"/>
    </row>
    <row r="268" spans="1:19" s="2" customFormat="1" ht="19.5" customHeight="1">
      <c r="A268" s="132"/>
      <c r="B268" s="451" t="s">
        <v>383</v>
      </c>
      <c r="C268" s="133"/>
      <c r="D268" s="451"/>
      <c r="E268" s="451"/>
      <c r="F268" s="451"/>
      <c r="G268" s="192" t="s">
        <v>381</v>
      </c>
      <c r="H268" s="554"/>
      <c r="I268" s="554"/>
      <c r="J268" s="466" t="s">
        <v>11</v>
      </c>
      <c r="K268" s="798" t="s">
        <v>39</v>
      </c>
      <c r="L268" s="799"/>
      <c r="N268" s="18"/>
      <c r="O268" s="20"/>
      <c r="P268" s="21"/>
      <c r="Q268" s="18"/>
    </row>
    <row r="269" spans="1:19" s="2" customFormat="1" ht="19.5" customHeight="1">
      <c r="A269" s="132"/>
      <c r="B269" s="525" t="s">
        <v>504</v>
      </c>
      <c r="C269" s="525"/>
      <c r="D269" s="146"/>
      <c r="E269" s="146"/>
      <c r="F269" s="526"/>
      <c r="G269" s="527" t="s">
        <v>367</v>
      </c>
      <c r="H269" s="534" t="str">
        <f>+IF(H244&lt;&gt;0,H244,"")</f>
        <v/>
      </c>
      <c r="I269" s="534" t="str">
        <f>+IF(I244&lt;&gt;0,I244,"")</f>
        <v/>
      </c>
      <c r="J269" s="483" t="s">
        <v>21</v>
      </c>
      <c r="K269" s="798" t="s">
        <v>20</v>
      </c>
      <c r="L269" s="799"/>
      <c r="N269" s="451" t="s">
        <v>503</v>
      </c>
      <c r="O269" s="20"/>
      <c r="P269" s="21"/>
      <c r="Q269" s="18"/>
    </row>
    <row r="270" spans="1:19" s="2" customFormat="1" ht="4.5" customHeight="1" thickBot="1">
      <c r="A270" s="132"/>
      <c r="B270" s="451"/>
      <c r="C270" s="133"/>
      <c r="D270" s="451"/>
      <c r="E270" s="451"/>
      <c r="F270" s="451"/>
      <c r="G270" s="192"/>
      <c r="H270" s="23"/>
      <c r="I270" s="23"/>
      <c r="J270" s="466"/>
      <c r="K270" s="462"/>
      <c r="L270" s="463"/>
    </row>
    <row r="271" spans="1:19" s="2" customFormat="1" ht="19.5" customHeight="1" thickBot="1">
      <c r="A271" s="132"/>
      <c r="B271" s="133" t="s">
        <v>384</v>
      </c>
      <c r="C271" s="133"/>
      <c r="D271" s="451"/>
      <c r="E271" s="451"/>
      <c r="F271" s="451"/>
      <c r="G271" s="192" t="s">
        <v>382</v>
      </c>
      <c r="H271" s="394" t="str">
        <f>IF(COUNTBLANK(H268:H268)=0,H268*60/H269,"")</f>
        <v/>
      </c>
      <c r="I271" s="394" t="str">
        <f>IF(COUNTBLANK(I268:I268)=0,I268*60/I269,"")</f>
        <v/>
      </c>
      <c r="J271" s="235" t="s">
        <v>15</v>
      </c>
      <c r="K271" s="798" t="s">
        <v>39</v>
      </c>
      <c r="L271" s="799"/>
    </row>
    <row r="272" spans="1:19" s="2" customFormat="1" ht="4.5" customHeight="1" thickBot="1">
      <c r="A272" s="132"/>
      <c r="B272" s="451"/>
      <c r="C272" s="133"/>
      <c r="D272" s="451"/>
      <c r="E272" s="451"/>
      <c r="F272" s="451"/>
      <c r="G272" s="204"/>
      <c r="H272" s="247"/>
      <c r="I272" s="23"/>
      <c r="J272" s="466"/>
      <c r="K272" s="462"/>
      <c r="L272" s="463"/>
      <c r="M272" s="7"/>
      <c r="N272" s="7"/>
    </row>
    <row r="273" spans="1:17" s="2" customFormat="1" ht="24" customHeight="1" thickBot="1">
      <c r="A273" s="132"/>
      <c r="B273" s="451"/>
      <c r="C273" s="133"/>
      <c r="D273" s="451"/>
      <c r="E273" s="451"/>
      <c r="F273" s="451"/>
      <c r="G273" s="204"/>
      <c r="H273" s="204" t="s">
        <v>385</v>
      </c>
      <c r="I273" s="421" t="str">
        <f>IF(COUNTBLANK(H271:I271)=0,(H271+I271)/2,"")</f>
        <v/>
      </c>
      <c r="J273" s="235" t="s">
        <v>15</v>
      </c>
      <c r="K273" s="798" t="s">
        <v>39</v>
      </c>
      <c r="L273" s="799"/>
      <c r="N273" s="18"/>
      <c r="O273" s="20"/>
      <c r="P273" s="21"/>
      <c r="Q273" s="18"/>
    </row>
    <row r="274" spans="1:17" s="2" customFormat="1" ht="4.5" customHeight="1" thickBot="1">
      <c r="A274" s="132"/>
      <c r="B274" s="451"/>
      <c r="C274" s="133"/>
      <c r="D274" s="451"/>
      <c r="E274" s="451"/>
      <c r="F274" s="451"/>
      <c r="G274" s="204"/>
      <c r="H274" s="204"/>
      <c r="I274" s="23"/>
      <c r="J274" s="235"/>
      <c r="K274" s="462"/>
      <c r="L274" s="467"/>
      <c r="N274" s="18"/>
      <c r="O274" s="20"/>
      <c r="P274" s="21"/>
      <c r="Q274" s="22"/>
    </row>
    <row r="275" spans="1:17" s="2" customFormat="1" ht="19.5" customHeight="1" thickBot="1">
      <c r="A275" s="132"/>
      <c r="B275" s="451"/>
      <c r="C275" s="133"/>
      <c r="D275" s="451"/>
      <c r="E275" s="451"/>
      <c r="F275" s="451"/>
      <c r="G275" s="204"/>
      <c r="H275" s="158" t="s">
        <v>58</v>
      </c>
      <c r="I275" s="395" t="str">
        <f>IF(I273&lt;&gt;"",ABS(H271-I271)/I273,"")</f>
        <v/>
      </c>
      <c r="J275" s="468" t="s">
        <v>505</v>
      </c>
      <c r="K275" s="462"/>
      <c r="L275" s="467"/>
      <c r="N275" s="18"/>
      <c r="O275" s="20"/>
      <c r="P275" s="21"/>
      <c r="Q275" s="22"/>
    </row>
    <row r="276" spans="1:17" s="2" customFormat="1" ht="6.75" customHeight="1" thickBot="1">
      <c r="A276" s="172"/>
      <c r="B276" s="271"/>
      <c r="C276" s="153"/>
      <c r="D276" s="271"/>
      <c r="E276" s="271"/>
      <c r="F276" s="271"/>
      <c r="G276" s="272"/>
      <c r="H276" s="273"/>
      <c r="I276" s="125"/>
      <c r="J276" s="274"/>
      <c r="K276" s="275"/>
      <c r="L276" s="276"/>
      <c r="N276" s="18"/>
      <c r="O276" s="20"/>
      <c r="P276" s="21"/>
      <c r="Q276" s="22"/>
    </row>
    <row r="277" spans="1:17" s="2" customFormat="1" ht="19.5" customHeight="1" thickBot="1">
      <c r="A277" s="111"/>
      <c r="B277" s="123"/>
      <c r="C277" s="111"/>
      <c r="D277" s="123"/>
      <c r="E277" s="123"/>
      <c r="F277" s="123"/>
      <c r="G277" s="124"/>
      <c r="H277" s="110"/>
      <c r="I277" s="125"/>
      <c r="J277" s="126"/>
      <c r="K277" s="127"/>
      <c r="L277" s="115"/>
      <c r="N277" s="18"/>
      <c r="O277" s="20"/>
      <c r="P277" s="21"/>
      <c r="Q277" s="22"/>
    </row>
    <row r="278" spans="1:17" s="2" customFormat="1" ht="19.5" customHeight="1" thickBot="1">
      <c r="A278" s="763" t="s">
        <v>196</v>
      </c>
      <c r="B278" s="764"/>
      <c r="C278" s="764"/>
      <c r="D278" s="764"/>
      <c r="E278" s="764"/>
      <c r="F278" s="764"/>
      <c r="G278" s="764"/>
      <c r="H278" s="764"/>
      <c r="I278" s="764"/>
      <c r="J278" s="764"/>
      <c r="K278" s="764"/>
      <c r="L278" s="765"/>
      <c r="N278" s="18"/>
      <c r="O278" s="20"/>
      <c r="P278" s="21"/>
      <c r="Q278" s="22"/>
    </row>
    <row r="279" spans="1:17" s="2" customFormat="1" ht="28.5" customHeight="1" thickTop="1">
      <c r="A279" s="354" t="s">
        <v>206</v>
      </c>
      <c r="B279" s="766" t="str">
        <f>+表紙!$B$3&amp;"　　（５．エネルギー消費量）"</f>
        <v>ラックコンベア洗浄機、フライトコンベア洗浄機、フラットコンベア洗浄機(選択してください)　　（５．エネルギー消費量）</v>
      </c>
      <c r="C279" s="767"/>
      <c r="D279" s="767"/>
      <c r="E279" s="767"/>
      <c r="F279" s="767"/>
      <c r="G279" s="767"/>
      <c r="H279" s="767"/>
      <c r="I279" s="767"/>
      <c r="J279" s="767"/>
      <c r="K279" s="766" t="str">
        <f>"ガス種："&amp;表紙!$K$11</f>
        <v>ガス種：選択して下さい</v>
      </c>
      <c r="L279" s="768"/>
      <c r="N279" s="18"/>
      <c r="O279" s="20"/>
      <c r="P279" s="21"/>
      <c r="Q279" s="22"/>
    </row>
    <row r="280" spans="1:17" s="2" customFormat="1" ht="18" customHeight="1" thickBot="1">
      <c r="A280" s="341" t="s">
        <v>282</v>
      </c>
      <c r="B280" s="770" t="str">
        <f>IF(表紙!$B$6=0,"",表紙!$B$6)</f>
        <v/>
      </c>
      <c r="C280" s="771"/>
      <c r="D280" s="771"/>
      <c r="E280" s="771"/>
      <c r="F280" s="771"/>
      <c r="G280" s="784"/>
      <c r="H280" s="5" t="s">
        <v>1</v>
      </c>
      <c r="I280" s="770" t="str">
        <f>IF(表紙!$H$5=0,"",表紙!$H$5)</f>
        <v/>
      </c>
      <c r="J280" s="771"/>
      <c r="K280" s="771"/>
      <c r="L280" s="772"/>
      <c r="N280" s="18"/>
      <c r="O280" s="20"/>
      <c r="P280" s="21"/>
      <c r="Q280" s="22"/>
    </row>
    <row r="281" spans="1:17" s="2" customFormat="1" ht="13.5" customHeight="1">
      <c r="A281" s="132"/>
      <c r="B281" s="451"/>
      <c r="C281" s="133"/>
      <c r="D281" s="451"/>
      <c r="E281" s="451"/>
      <c r="F281" s="451"/>
      <c r="G281" s="204"/>
      <c r="H281" s="158"/>
      <c r="I281" s="227"/>
      <c r="J281" s="235"/>
      <c r="K281" s="462"/>
      <c r="L281" s="467"/>
      <c r="N281" s="18"/>
      <c r="O281" s="20"/>
      <c r="P281" s="21"/>
      <c r="Q281" s="22"/>
    </row>
    <row r="282" spans="1:17" s="2" customFormat="1" ht="18.75" customHeight="1">
      <c r="A282" s="132"/>
      <c r="B282" s="228" t="s">
        <v>523</v>
      </c>
      <c r="C282" s="133"/>
      <c r="D282" s="133"/>
      <c r="E282" s="133"/>
      <c r="F282" s="133"/>
      <c r="G282" s="133"/>
      <c r="H282" s="133"/>
      <c r="I282" s="133"/>
      <c r="J282" s="133"/>
      <c r="K282" s="193"/>
      <c r="L282" s="171"/>
      <c r="N282" s="18"/>
      <c r="O282" s="20"/>
      <c r="P282" s="21"/>
      <c r="Q282" s="22"/>
    </row>
    <row r="283" spans="1:17" s="2" customFormat="1" ht="19.5" customHeight="1">
      <c r="A283" s="132"/>
      <c r="B283" s="133" t="s">
        <v>82</v>
      </c>
      <c r="C283" s="133"/>
      <c r="D283" s="133"/>
      <c r="E283" s="133"/>
      <c r="F283" s="133"/>
      <c r="G283" s="133"/>
      <c r="H283" s="133"/>
      <c r="I283" s="133"/>
      <c r="J283" s="133"/>
      <c r="K283" s="193"/>
      <c r="L283" s="171"/>
      <c r="N283" s="18"/>
      <c r="O283" s="20"/>
      <c r="P283" s="21"/>
      <c r="Q283" s="22"/>
    </row>
    <row r="284" spans="1:17" s="2" customFormat="1" ht="19.5" customHeight="1">
      <c r="A284" s="132"/>
      <c r="B284" s="133" t="s">
        <v>494</v>
      </c>
      <c r="C284" s="133"/>
      <c r="D284" s="133"/>
      <c r="E284" s="133"/>
      <c r="F284" s="133"/>
      <c r="G284" s="133"/>
      <c r="H284" s="133"/>
      <c r="I284" s="133"/>
      <c r="J284" s="133"/>
      <c r="K284" s="193"/>
      <c r="L284" s="171"/>
      <c r="N284" s="18"/>
      <c r="O284" s="20"/>
      <c r="P284" s="21"/>
      <c r="Q284" s="22"/>
    </row>
    <row r="285" spans="1:17" s="2" customFormat="1" ht="19.5" customHeight="1">
      <c r="A285" s="132"/>
      <c r="B285" s="133"/>
      <c r="C285" s="133"/>
      <c r="D285" s="133"/>
      <c r="E285" s="133"/>
      <c r="F285" s="133"/>
      <c r="G285" s="133"/>
      <c r="H285" s="133"/>
      <c r="I285" s="133"/>
      <c r="J285" s="133"/>
      <c r="K285" s="193"/>
      <c r="L285" s="171"/>
      <c r="N285" s="18"/>
      <c r="O285" s="19"/>
      <c r="P285" s="19"/>
      <c r="Q285" s="22"/>
    </row>
    <row r="286" spans="1:17" s="2" customFormat="1" ht="19.5" customHeight="1">
      <c r="A286" s="132"/>
      <c r="B286" s="133"/>
      <c r="C286" s="133"/>
      <c r="D286" s="133"/>
      <c r="E286" s="133"/>
      <c r="F286" s="133"/>
      <c r="G286" s="133"/>
      <c r="H286" s="133"/>
      <c r="I286" s="133"/>
      <c r="J286" s="133"/>
      <c r="K286" s="193"/>
      <c r="L286" s="171"/>
      <c r="N286" s="18"/>
      <c r="O286" s="20"/>
      <c r="P286" s="21"/>
      <c r="Q286" s="22"/>
    </row>
    <row r="287" spans="1:17" s="2" customFormat="1" ht="17.25" customHeight="1">
      <c r="A287" s="132"/>
      <c r="B287" s="133"/>
      <c r="C287" s="239"/>
      <c r="D287" s="133"/>
      <c r="E287" s="133"/>
      <c r="F287" s="133"/>
      <c r="G287" s="133"/>
      <c r="H287" s="133"/>
      <c r="I287" s="133"/>
      <c r="J287" s="133"/>
      <c r="K287" s="193"/>
      <c r="L287" s="171"/>
      <c r="N287" s="18"/>
      <c r="O287" s="20"/>
      <c r="P287" s="21"/>
      <c r="Q287" s="22"/>
    </row>
    <row r="288" spans="1:17" s="2" customFormat="1" ht="17.25" customHeight="1">
      <c r="A288" s="132"/>
      <c r="B288" s="136" t="s">
        <v>486</v>
      </c>
      <c r="C288" s="133"/>
      <c r="D288" s="133"/>
      <c r="E288" s="133"/>
      <c r="F288" s="133"/>
      <c r="G288" s="133"/>
      <c r="H288" s="133"/>
      <c r="I288" s="133"/>
      <c r="J288" s="133"/>
      <c r="K288" s="193"/>
      <c r="L288" s="171"/>
      <c r="N288" s="18"/>
      <c r="O288" s="20"/>
      <c r="P288" s="21"/>
      <c r="Q288" s="22"/>
    </row>
    <row r="289" spans="1:17" s="2" customFormat="1" ht="8.25" customHeight="1">
      <c r="A289" s="132"/>
      <c r="B289" s="136"/>
      <c r="C289" s="133"/>
      <c r="D289" s="133"/>
      <c r="E289" s="133"/>
      <c r="F289" s="133"/>
      <c r="G289" s="133"/>
      <c r="H289" s="133"/>
      <c r="I289" s="133"/>
      <c r="J289" s="133"/>
      <c r="K289" s="193"/>
      <c r="L289" s="171"/>
      <c r="N289" s="18"/>
      <c r="O289" s="20"/>
      <c r="P289" s="21"/>
      <c r="Q289" s="22"/>
    </row>
    <row r="290" spans="1:17" s="2" customFormat="1" ht="21.75" customHeight="1">
      <c r="A290" s="132"/>
      <c r="B290" s="133" t="s">
        <v>387</v>
      </c>
      <c r="C290" s="133"/>
      <c r="D290" s="133"/>
      <c r="E290" s="133"/>
      <c r="F290" s="133"/>
      <c r="G290" s="133"/>
      <c r="H290" s="192" t="s">
        <v>396</v>
      </c>
      <c r="I290" s="382" t="str">
        <f>I38</f>
        <v/>
      </c>
      <c r="J290" s="193" t="s">
        <v>70</v>
      </c>
      <c r="K290" s="798" t="s">
        <v>39</v>
      </c>
      <c r="L290" s="799"/>
      <c r="N290" s="18"/>
      <c r="O290" s="19"/>
      <c r="P290" s="19"/>
      <c r="Q290" s="22"/>
    </row>
    <row r="291" spans="1:17" s="2" customFormat="1" ht="21.75" customHeight="1">
      <c r="A291" s="132"/>
      <c r="B291" s="133" t="s">
        <v>388</v>
      </c>
      <c r="C291" s="133"/>
      <c r="D291" s="133"/>
      <c r="E291" s="133"/>
      <c r="F291" s="133"/>
      <c r="G291" s="133"/>
      <c r="H291" s="192" t="s">
        <v>397</v>
      </c>
      <c r="I291" s="382" t="str">
        <f>I222</f>
        <v/>
      </c>
      <c r="J291" s="235" t="s">
        <v>15</v>
      </c>
      <c r="K291" s="798" t="s">
        <v>39</v>
      </c>
      <c r="L291" s="799"/>
      <c r="N291" s="18"/>
      <c r="O291" s="19"/>
      <c r="P291" s="19"/>
      <c r="Q291" s="18"/>
    </row>
    <row r="292" spans="1:17" s="2" customFormat="1" ht="21.75" customHeight="1">
      <c r="A292" s="132"/>
      <c r="B292" s="133" t="s">
        <v>389</v>
      </c>
      <c r="C292" s="133"/>
      <c r="D292" s="133"/>
      <c r="E292" s="133"/>
      <c r="F292" s="133"/>
      <c r="G292" s="133"/>
      <c r="H292" s="192" t="s">
        <v>398</v>
      </c>
      <c r="I292" s="382" t="str">
        <f>I135</f>
        <v/>
      </c>
      <c r="J292" s="235" t="s">
        <v>15</v>
      </c>
      <c r="K292" s="798" t="s">
        <v>39</v>
      </c>
      <c r="L292" s="799"/>
      <c r="N292" s="18"/>
      <c r="O292" s="19"/>
      <c r="P292" s="19"/>
      <c r="Q292" s="22"/>
    </row>
    <row r="293" spans="1:17" s="2" customFormat="1" ht="21.75" customHeight="1">
      <c r="A293" s="132"/>
      <c r="B293" s="133" t="s">
        <v>390</v>
      </c>
      <c r="C293" s="133"/>
      <c r="D293" s="133"/>
      <c r="E293" s="133"/>
      <c r="F293" s="133"/>
      <c r="G293" s="133"/>
      <c r="H293" s="192" t="s">
        <v>399</v>
      </c>
      <c r="I293" s="376" t="str">
        <f>I262</f>
        <v/>
      </c>
      <c r="J293" s="235" t="s">
        <v>15</v>
      </c>
      <c r="K293" s="798" t="s">
        <v>39</v>
      </c>
      <c r="L293" s="799"/>
      <c r="N293" s="19"/>
      <c r="O293" s="18"/>
      <c r="P293" s="18"/>
      <c r="Q293" s="22"/>
    </row>
    <row r="294" spans="1:17" s="2" customFormat="1" ht="21.75" customHeight="1">
      <c r="A294" s="132"/>
      <c r="B294" s="451" t="s">
        <v>391</v>
      </c>
      <c r="C294" s="133"/>
      <c r="D294" s="451"/>
      <c r="E294" s="451"/>
      <c r="F294" s="451"/>
      <c r="G294" s="451"/>
      <c r="H294" s="192" t="s">
        <v>400</v>
      </c>
      <c r="I294" s="396">
        <v>1</v>
      </c>
      <c r="J294" s="466" t="s">
        <v>47</v>
      </c>
      <c r="K294" s="193"/>
      <c r="L294" s="202"/>
      <c r="N294" s="19"/>
      <c r="O294" s="18"/>
      <c r="P294" s="18"/>
      <c r="Q294" s="22"/>
    </row>
    <row r="295" spans="1:17" s="2" customFormat="1" ht="21.75" customHeight="1">
      <c r="A295" s="132"/>
      <c r="B295" s="451" t="s">
        <v>392</v>
      </c>
      <c r="C295" s="133"/>
      <c r="D295" s="451"/>
      <c r="E295" s="451"/>
      <c r="F295" s="451"/>
      <c r="G295" s="451"/>
      <c r="H295" s="192" t="s">
        <v>401</v>
      </c>
      <c r="I295" s="397">
        <v>0.5</v>
      </c>
      <c r="J295" s="466" t="s">
        <v>47</v>
      </c>
      <c r="K295" s="193"/>
      <c r="L295" s="455"/>
      <c r="N295" s="18"/>
      <c r="O295" s="19"/>
      <c r="P295" s="19"/>
      <c r="Q295" s="22"/>
    </row>
    <row r="296" spans="1:17" s="2" customFormat="1" ht="21.75" customHeight="1">
      <c r="A296" s="132"/>
      <c r="B296" s="451" t="s">
        <v>393</v>
      </c>
      <c r="C296" s="133"/>
      <c r="D296" s="451"/>
      <c r="E296" s="451"/>
      <c r="F296" s="451"/>
      <c r="G296" s="146"/>
      <c r="H296" s="169" t="s">
        <v>402</v>
      </c>
      <c r="I296" s="397">
        <v>0.8</v>
      </c>
      <c r="J296" s="133"/>
      <c r="K296" s="193"/>
      <c r="L296" s="467"/>
      <c r="N296" s="18"/>
      <c r="O296" s="19"/>
      <c r="P296" s="19"/>
      <c r="Q296" s="22"/>
    </row>
    <row r="297" spans="1:17" s="2" customFormat="1" ht="21.75" customHeight="1">
      <c r="A297" s="182"/>
      <c r="B297" s="334" t="s">
        <v>394</v>
      </c>
      <c r="C297" s="334"/>
      <c r="D297" s="334"/>
      <c r="E297" s="334"/>
      <c r="F297" s="334"/>
      <c r="G297" s="133"/>
      <c r="H297" s="192" t="s">
        <v>403</v>
      </c>
      <c r="I297" s="396">
        <v>1</v>
      </c>
      <c r="J297" s="466" t="s">
        <v>83</v>
      </c>
      <c r="K297" s="133"/>
      <c r="L297" s="213"/>
      <c r="N297" s="18"/>
      <c r="O297" s="19"/>
      <c r="P297" s="19"/>
      <c r="Q297" s="22"/>
    </row>
    <row r="298" spans="1:17" s="2" customFormat="1" ht="19.5" customHeight="1" thickBot="1">
      <c r="A298" s="132"/>
      <c r="B298" s="133"/>
      <c r="C298" s="133"/>
      <c r="D298" s="133"/>
      <c r="E298" s="133"/>
      <c r="F298" s="133"/>
      <c r="G298" s="133"/>
      <c r="H298" s="133"/>
      <c r="I298" s="133"/>
      <c r="J298" s="133"/>
      <c r="K298" s="193"/>
      <c r="L298" s="455"/>
      <c r="N298" s="18"/>
      <c r="O298" s="18"/>
      <c r="P298" s="18"/>
      <c r="Q298" s="18"/>
    </row>
    <row r="299" spans="1:17" s="2" customFormat="1" ht="25.5" customHeight="1" thickBot="1">
      <c r="A299" s="132"/>
      <c r="B299" s="156" t="s">
        <v>395</v>
      </c>
      <c r="C299" s="133"/>
      <c r="D299" s="133"/>
      <c r="E299" s="133"/>
      <c r="F299" s="133"/>
      <c r="G299" s="133"/>
      <c r="H299" s="192" t="s">
        <v>404</v>
      </c>
      <c r="I299" s="408" t="str">
        <f>IF(COUNTBLANK(I290:I297)=0,I297*I290+I294*(I296*I291+(1-I296)*I292)+I295*I293,"")</f>
        <v/>
      </c>
      <c r="J299" s="193" t="s">
        <v>45</v>
      </c>
      <c r="K299" s="798" t="s">
        <v>16</v>
      </c>
      <c r="L299" s="849"/>
      <c r="M299" s="7"/>
      <c r="N299" s="18"/>
      <c r="O299" s="18"/>
      <c r="P299" s="18"/>
      <c r="Q299" s="18"/>
    </row>
    <row r="300" spans="1:17" s="2" customFormat="1" ht="18.75" customHeight="1">
      <c r="A300" s="132"/>
      <c r="B300" s="133"/>
      <c r="C300" s="133"/>
      <c r="D300" s="133"/>
      <c r="E300" s="133"/>
      <c r="F300" s="133"/>
      <c r="G300" s="133"/>
      <c r="H300" s="225"/>
      <c r="I300" s="248"/>
      <c r="J300" s="193"/>
      <c r="K300" s="850"/>
      <c r="L300" s="851"/>
      <c r="N300" s="18"/>
      <c r="O300" s="18"/>
      <c r="P300" s="18"/>
      <c r="Q300" s="18"/>
    </row>
    <row r="301" spans="1:17" s="2" customFormat="1" ht="19.5" customHeight="1">
      <c r="A301" s="132"/>
      <c r="B301" s="136" t="s">
        <v>487</v>
      </c>
      <c r="C301" s="133"/>
      <c r="D301" s="133"/>
      <c r="E301" s="133"/>
      <c r="F301" s="133"/>
      <c r="G301" s="133"/>
      <c r="H301" s="133"/>
      <c r="I301" s="133"/>
      <c r="J301" s="133"/>
      <c r="K301" s="334"/>
      <c r="L301" s="302"/>
      <c r="N301" s="18"/>
      <c r="O301" s="18"/>
      <c r="P301" s="18"/>
      <c r="Q301" s="18"/>
    </row>
    <row r="302" spans="1:17" s="2" customFormat="1" ht="11.25" customHeight="1">
      <c r="A302" s="132"/>
      <c r="B302" s="136"/>
      <c r="C302" s="133"/>
      <c r="D302" s="133"/>
      <c r="E302" s="133"/>
      <c r="F302" s="133"/>
      <c r="G302" s="133"/>
      <c r="H302" s="133"/>
      <c r="I302" s="133"/>
      <c r="J302" s="133"/>
      <c r="K302" s="334"/>
      <c r="L302" s="302"/>
      <c r="N302" s="18"/>
      <c r="O302" s="18"/>
      <c r="P302" s="18"/>
      <c r="Q302" s="18"/>
    </row>
    <row r="303" spans="1:17" s="2" customFormat="1" ht="21" customHeight="1">
      <c r="A303" s="132"/>
      <c r="B303" s="133" t="s">
        <v>414</v>
      </c>
      <c r="C303" s="133"/>
      <c r="D303" s="133"/>
      <c r="E303" s="133"/>
      <c r="F303" s="133"/>
      <c r="G303" s="133"/>
      <c r="H303" s="192" t="s">
        <v>405</v>
      </c>
      <c r="I303" s="382" t="str">
        <f>I70</f>
        <v/>
      </c>
      <c r="J303" s="193" t="s">
        <v>70</v>
      </c>
      <c r="K303" s="798" t="s">
        <v>39</v>
      </c>
      <c r="L303" s="799"/>
      <c r="N303" s="18"/>
      <c r="O303" s="18"/>
      <c r="P303" s="18"/>
      <c r="Q303" s="18"/>
    </row>
    <row r="304" spans="1:17" s="2" customFormat="1" ht="21" customHeight="1">
      <c r="A304" s="132"/>
      <c r="B304" s="133" t="s">
        <v>413</v>
      </c>
      <c r="C304" s="133"/>
      <c r="D304" s="133"/>
      <c r="E304" s="133"/>
      <c r="F304" s="133"/>
      <c r="G304" s="133"/>
      <c r="H304" s="192" t="s">
        <v>406</v>
      </c>
      <c r="I304" s="382" t="str">
        <f>I225</f>
        <v/>
      </c>
      <c r="J304" s="235" t="s">
        <v>15</v>
      </c>
      <c r="K304" s="798" t="s">
        <v>39</v>
      </c>
      <c r="L304" s="799"/>
      <c r="N304" s="18"/>
      <c r="O304" s="18"/>
      <c r="P304" s="18"/>
      <c r="Q304" s="18"/>
    </row>
    <row r="305" spans="1:19" s="2" customFormat="1" ht="21" customHeight="1">
      <c r="A305" s="132"/>
      <c r="B305" s="133" t="s">
        <v>412</v>
      </c>
      <c r="C305" s="133"/>
      <c r="D305" s="133"/>
      <c r="E305" s="133"/>
      <c r="F305" s="133"/>
      <c r="G305" s="133"/>
      <c r="H305" s="192" t="s">
        <v>407</v>
      </c>
      <c r="I305" s="382" t="str">
        <f>I160</f>
        <v/>
      </c>
      <c r="J305" s="235" t="s">
        <v>15</v>
      </c>
      <c r="K305" s="798" t="s">
        <v>39</v>
      </c>
      <c r="L305" s="799"/>
      <c r="N305" s="18"/>
      <c r="O305" s="18"/>
      <c r="P305" s="18"/>
      <c r="Q305" s="18"/>
    </row>
    <row r="306" spans="1:19" s="2" customFormat="1" ht="21" customHeight="1">
      <c r="A306" s="132"/>
      <c r="B306" s="133" t="s">
        <v>411</v>
      </c>
      <c r="C306" s="133"/>
      <c r="D306" s="133"/>
      <c r="E306" s="133"/>
      <c r="F306" s="133"/>
      <c r="G306" s="133"/>
      <c r="H306" s="192" t="s">
        <v>408</v>
      </c>
      <c r="I306" s="376" t="str">
        <f>I273</f>
        <v/>
      </c>
      <c r="J306" s="235" t="s">
        <v>15</v>
      </c>
      <c r="K306" s="798" t="s">
        <v>39</v>
      </c>
      <c r="L306" s="799"/>
      <c r="N306" s="18"/>
      <c r="O306" s="18"/>
      <c r="P306" s="18"/>
      <c r="Q306" s="18"/>
    </row>
    <row r="307" spans="1:19" s="2" customFormat="1" ht="9" customHeight="1" thickBot="1">
      <c r="A307" s="132"/>
      <c r="B307" s="133"/>
      <c r="C307" s="133"/>
      <c r="D307" s="133"/>
      <c r="E307" s="133"/>
      <c r="F307" s="133"/>
      <c r="G307" s="133"/>
      <c r="H307" s="173"/>
      <c r="I307" s="133"/>
      <c r="J307" s="133"/>
      <c r="K307" s="334"/>
      <c r="L307" s="302"/>
      <c r="N307" s="18"/>
      <c r="O307" s="18"/>
      <c r="P307" s="18"/>
      <c r="Q307" s="18"/>
    </row>
    <row r="308" spans="1:19" s="2" customFormat="1" ht="25.5" customHeight="1" thickBot="1">
      <c r="A308" s="132"/>
      <c r="B308" s="133" t="s">
        <v>410</v>
      </c>
      <c r="C308" s="133"/>
      <c r="D308" s="133"/>
      <c r="E308" s="133"/>
      <c r="F308" s="133"/>
      <c r="G308" s="133"/>
      <c r="H308" s="192" t="s">
        <v>409</v>
      </c>
      <c r="I308" s="408" t="str">
        <f>IF(COUNT(I303:I306)=4,I297*I303+I294*(I296*I304+(1-I296)*I305)+I295*I306,"")</f>
        <v/>
      </c>
      <c r="J308" s="193" t="s">
        <v>45</v>
      </c>
      <c r="K308" s="798" t="s">
        <v>16</v>
      </c>
      <c r="L308" s="849"/>
      <c r="N308" s="18"/>
      <c r="O308" s="18"/>
      <c r="P308" s="18"/>
      <c r="Q308" s="18"/>
    </row>
    <row r="309" spans="1:19" s="2" customFormat="1" ht="19.5" customHeight="1">
      <c r="A309" s="132"/>
      <c r="B309" s="133"/>
      <c r="C309" s="133"/>
      <c r="D309" s="133"/>
      <c r="E309" s="133"/>
      <c r="F309" s="133"/>
      <c r="G309" s="133"/>
      <c r="H309" s="133"/>
      <c r="I309" s="133"/>
      <c r="J309" s="133"/>
      <c r="K309" s="133"/>
      <c r="L309" s="249"/>
      <c r="N309" s="18"/>
      <c r="O309" s="18"/>
      <c r="P309" s="18"/>
      <c r="Q309" s="18"/>
    </row>
    <row r="310" spans="1:19" s="2" customFormat="1" ht="19.5" customHeight="1">
      <c r="A310" s="132"/>
      <c r="B310" s="788" t="s">
        <v>521</v>
      </c>
      <c r="C310" s="788"/>
      <c r="D310" s="788"/>
      <c r="E310" s="788"/>
      <c r="F310" s="788"/>
      <c r="G310" s="788"/>
      <c r="H310" s="788"/>
      <c r="I310" s="788"/>
      <c r="J310" s="788"/>
      <c r="K310" s="788"/>
      <c r="L310" s="249"/>
      <c r="N310" s="18"/>
      <c r="O310" s="18"/>
      <c r="P310" s="18"/>
      <c r="Q310" s="18"/>
    </row>
    <row r="311" spans="1:19" s="2" customFormat="1" ht="19.5" customHeight="1">
      <c r="A311" s="132"/>
      <c r="B311" s="788"/>
      <c r="C311" s="788"/>
      <c r="D311" s="788"/>
      <c r="E311" s="788"/>
      <c r="F311" s="788"/>
      <c r="G311" s="788"/>
      <c r="H311" s="788"/>
      <c r="I311" s="788"/>
      <c r="J311" s="788"/>
      <c r="K311" s="788"/>
      <c r="L311" s="249"/>
      <c r="N311" s="18"/>
      <c r="O311" s="18"/>
      <c r="P311" s="18"/>
      <c r="Q311" s="18"/>
    </row>
    <row r="312" spans="1:19" s="2" customFormat="1" ht="19.5" customHeight="1">
      <c r="A312" s="132"/>
      <c r="B312" s="788"/>
      <c r="C312" s="788"/>
      <c r="D312" s="788"/>
      <c r="E312" s="788"/>
      <c r="F312" s="788"/>
      <c r="G312" s="788"/>
      <c r="H312" s="788"/>
      <c r="I312" s="788"/>
      <c r="J312" s="788"/>
      <c r="K312" s="788"/>
      <c r="L312" s="249"/>
      <c r="N312" s="18"/>
      <c r="O312" s="18"/>
      <c r="P312" s="18"/>
      <c r="Q312" s="18"/>
    </row>
    <row r="313" spans="1:19" s="2" customFormat="1" ht="19.5" customHeight="1">
      <c r="A313" s="132"/>
      <c r="B313" s="535"/>
      <c r="C313" s="535"/>
      <c r="D313" s="535"/>
      <c r="E313" s="535"/>
      <c r="F313" s="535"/>
      <c r="G313" s="535"/>
      <c r="H313" s="535"/>
      <c r="I313" s="535"/>
      <c r="J313" s="535"/>
      <c r="K313" s="535"/>
      <c r="L313" s="249"/>
      <c r="N313" s="18"/>
      <c r="O313" s="18"/>
      <c r="P313" s="18"/>
      <c r="Q313" s="18"/>
    </row>
    <row r="314" spans="1:19" s="2" customFormat="1" ht="19.5" customHeight="1">
      <c r="A314" s="132"/>
      <c r="B314" s="535"/>
      <c r="C314" s="535"/>
      <c r="D314" s="535"/>
      <c r="E314" s="535"/>
      <c r="F314" s="535"/>
      <c r="G314" s="535"/>
      <c r="H314" s="535"/>
      <c r="I314" s="535"/>
      <c r="J314" s="535"/>
      <c r="K314" s="535"/>
      <c r="L314" s="249"/>
      <c r="N314" s="18"/>
      <c r="O314" s="18"/>
      <c r="P314" s="18"/>
      <c r="Q314" s="18"/>
    </row>
    <row r="315" spans="1:19" s="2" customFormat="1" ht="23.25" customHeight="1">
      <c r="A315" s="132"/>
      <c r="B315" s="535"/>
      <c r="C315" s="535"/>
      <c r="D315" s="535"/>
      <c r="E315" s="535"/>
      <c r="F315" s="535"/>
      <c r="G315" s="535"/>
      <c r="H315" s="535"/>
      <c r="I315" s="535"/>
      <c r="J315" s="535"/>
      <c r="K315" s="535"/>
      <c r="L315" s="249"/>
    </row>
    <row r="316" spans="1:19" s="7" customFormat="1" ht="22.5" customHeight="1">
      <c r="A316" s="132"/>
      <c r="B316" s="535"/>
      <c r="C316" s="535"/>
      <c r="D316" s="535"/>
      <c r="E316" s="535"/>
      <c r="F316" s="535"/>
      <c r="G316" s="535"/>
      <c r="H316" s="535"/>
      <c r="I316" s="535"/>
      <c r="J316" s="535"/>
      <c r="K316" s="535"/>
      <c r="L316" s="249"/>
      <c r="M316" s="2"/>
      <c r="N316" s="2"/>
      <c r="O316" s="2"/>
      <c r="P316" s="2"/>
      <c r="Q316" s="2"/>
      <c r="R316" s="2"/>
      <c r="S316" s="2"/>
    </row>
    <row r="317" spans="1:19" s="2" customFormat="1" ht="15" customHeight="1" thickBot="1">
      <c r="A317" s="172"/>
      <c r="B317" s="153"/>
      <c r="C317" s="153"/>
      <c r="D317" s="153"/>
      <c r="E317" s="250"/>
      <c r="F317" s="250"/>
      <c r="G317" s="250"/>
      <c r="H317" s="250"/>
      <c r="I317" s="250"/>
      <c r="J317" s="250"/>
      <c r="K317" s="153"/>
      <c r="L317" s="154"/>
      <c r="M317" s="7"/>
      <c r="S317" s="7"/>
    </row>
    <row r="318" spans="1:19" s="2" customFormat="1" ht="15" customHeight="1">
      <c r="A318" s="1"/>
      <c r="B318" s="1"/>
      <c r="C318" s="1"/>
      <c r="D318" s="1"/>
      <c r="E318" s="1"/>
      <c r="F318" s="1"/>
      <c r="G318" s="1"/>
      <c r="H318" s="1"/>
      <c r="I318" s="1"/>
      <c r="J318" s="1"/>
      <c r="K318" s="1"/>
      <c r="L318" s="1"/>
    </row>
    <row r="319" spans="1:19" s="2" customFormat="1" ht="13.5" customHeight="1">
      <c r="A319" s="1"/>
      <c r="B319" s="1"/>
      <c r="C319" s="1"/>
      <c r="D319" s="1"/>
      <c r="E319" s="1"/>
      <c r="F319" s="1"/>
      <c r="G319" s="1"/>
      <c r="H319" s="1"/>
      <c r="I319" s="1"/>
      <c r="J319" s="1"/>
      <c r="K319" s="1"/>
      <c r="L319" s="1"/>
    </row>
    <row r="320" spans="1:19" s="2" customFormat="1" ht="13.5" customHeight="1">
      <c r="A320" s="1"/>
      <c r="B320" s="1"/>
      <c r="C320" s="1"/>
      <c r="D320" s="1"/>
      <c r="E320" s="1"/>
      <c r="F320" s="1"/>
      <c r="G320" s="1"/>
      <c r="H320" s="1"/>
      <c r="I320" s="1"/>
      <c r="J320" s="1"/>
      <c r="K320" s="1"/>
      <c r="L320" s="1"/>
    </row>
    <row r="321" spans="1:12" s="2" customFormat="1" ht="7.5" customHeight="1">
      <c r="A321" s="1"/>
      <c r="B321" s="1"/>
      <c r="C321" s="1"/>
      <c r="D321" s="1"/>
      <c r="E321" s="1"/>
      <c r="F321" s="1"/>
      <c r="G321" s="1"/>
      <c r="H321" s="1"/>
      <c r="I321" s="1"/>
      <c r="J321" s="1"/>
      <c r="K321" s="1"/>
      <c r="L321" s="1"/>
    </row>
    <row r="322" spans="1:12" s="2" customFormat="1" ht="15" customHeight="1">
      <c r="A322" s="1"/>
      <c r="B322" s="1"/>
      <c r="C322" s="1"/>
      <c r="D322" s="1"/>
      <c r="E322" s="1"/>
      <c r="F322" s="1"/>
      <c r="G322" s="1"/>
      <c r="H322" s="1"/>
      <c r="I322" s="1"/>
      <c r="J322" s="1"/>
      <c r="K322" s="1"/>
      <c r="L322" s="1"/>
    </row>
    <row r="323" spans="1:12" s="2" customFormat="1" ht="15" customHeight="1">
      <c r="A323" s="1"/>
      <c r="B323" s="1"/>
      <c r="C323" s="1"/>
      <c r="D323" s="1"/>
      <c r="E323" s="1"/>
      <c r="F323" s="1"/>
      <c r="G323" s="1"/>
      <c r="H323" s="1"/>
      <c r="I323" s="1"/>
      <c r="J323" s="1"/>
      <c r="K323" s="1"/>
      <c r="L323" s="1"/>
    </row>
    <row r="324" spans="1:12" s="2" customFormat="1" ht="15" customHeight="1">
      <c r="A324" s="1"/>
      <c r="B324" s="1"/>
      <c r="C324" s="1"/>
      <c r="D324" s="1"/>
      <c r="E324" s="1"/>
      <c r="F324" s="1"/>
      <c r="G324" s="1"/>
      <c r="H324" s="1"/>
      <c r="I324" s="1"/>
      <c r="J324" s="1"/>
      <c r="K324" s="1"/>
      <c r="L324" s="1"/>
    </row>
    <row r="325" spans="1:12" s="2" customFormat="1" ht="15" customHeight="1">
      <c r="A325" s="1"/>
      <c r="B325" s="1"/>
      <c r="C325" s="1"/>
      <c r="D325" s="1"/>
      <c r="E325" s="1"/>
      <c r="F325" s="1"/>
      <c r="G325" s="1"/>
      <c r="H325" s="1"/>
      <c r="I325" s="1"/>
      <c r="J325" s="1"/>
      <c r="K325" s="1"/>
      <c r="L325" s="1"/>
    </row>
    <row r="326" spans="1:12" s="2" customFormat="1" ht="15" customHeight="1">
      <c r="A326" s="1"/>
      <c r="B326" s="1"/>
      <c r="C326" s="1"/>
      <c r="D326" s="1"/>
      <c r="E326" s="1"/>
      <c r="F326" s="1"/>
      <c r="G326" s="1"/>
      <c r="H326" s="1"/>
      <c r="I326" s="1"/>
      <c r="J326" s="1"/>
      <c r="K326" s="1"/>
      <c r="L326" s="1"/>
    </row>
    <row r="327" spans="1:12" s="2" customFormat="1" ht="15" customHeight="1">
      <c r="A327" s="1"/>
      <c r="B327" s="1"/>
      <c r="C327" s="1"/>
      <c r="D327" s="1"/>
      <c r="E327" s="1"/>
      <c r="F327" s="1"/>
      <c r="G327" s="1"/>
      <c r="H327" s="1"/>
      <c r="I327" s="1"/>
      <c r="J327" s="1"/>
      <c r="K327" s="1"/>
      <c r="L327" s="1"/>
    </row>
    <row r="328" spans="1:12" s="2" customFormat="1" ht="28.5" customHeight="1">
      <c r="A328" s="1"/>
      <c r="B328" s="1"/>
      <c r="C328" s="1"/>
      <c r="D328" s="1"/>
      <c r="E328" s="1"/>
      <c r="F328" s="1"/>
      <c r="G328" s="1"/>
      <c r="H328" s="1"/>
      <c r="I328" s="1"/>
      <c r="J328" s="1"/>
      <c r="K328" s="1"/>
      <c r="L328" s="1"/>
    </row>
    <row r="329" spans="1:12" s="2" customFormat="1" ht="15" customHeight="1">
      <c r="A329" s="1"/>
      <c r="B329" s="1"/>
      <c r="C329" s="1"/>
      <c r="D329" s="1"/>
      <c r="E329" s="1"/>
      <c r="F329" s="1"/>
      <c r="G329" s="1"/>
      <c r="H329" s="1"/>
      <c r="I329" s="1"/>
      <c r="J329" s="1"/>
      <c r="K329" s="1"/>
      <c r="L329" s="1"/>
    </row>
    <row r="330" spans="1:12" s="2" customFormat="1" ht="15" customHeight="1">
      <c r="A330" s="1"/>
      <c r="B330" s="1"/>
      <c r="C330" s="1"/>
      <c r="D330" s="1"/>
      <c r="E330" s="1"/>
      <c r="F330" s="1"/>
      <c r="G330" s="1"/>
      <c r="H330" s="1"/>
      <c r="I330" s="1"/>
      <c r="J330" s="1"/>
      <c r="K330" s="1"/>
      <c r="L330" s="1"/>
    </row>
    <row r="331" spans="1:12" s="2" customFormat="1" ht="7.5" customHeight="1">
      <c r="A331" s="1"/>
      <c r="B331" s="1"/>
      <c r="C331" s="1"/>
      <c r="D331" s="1"/>
      <c r="E331" s="1"/>
      <c r="F331" s="1"/>
      <c r="G331" s="1"/>
      <c r="H331" s="1"/>
      <c r="I331" s="1"/>
      <c r="J331" s="1"/>
      <c r="K331" s="1"/>
      <c r="L331" s="1"/>
    </row>
    <row r="332" spans="1:12" s="2" customFormat="1" ht="30" customHeight="1">
      <c r="A332" s="1"/>
      <c r="B332" s="1"/>
      <c r="C332" s="1"/>
      <c r="D332" s="1"/>
      <c r="E332" s="1"/>
      <c r="F332" s="1"/>
      <c r="G332" s="1"/>
      <c r="H332" s="1"/>
      <c r="I332" s="1"/>
      <c r="J332" s="1"/>
      <c r="K332" s="1"/>
      <c r="L332" s="1"/>
    </row>
    <row r="333" spans="1:12" s="2" customFormat="1" ht="30" customHeight="1">
      <c r="A333" s="1"/>
      <c r="B333" s="1"/>
      <c r="C333" s="1"/>
      <c r="D333" s="1"/>
      <c r="E333" s="1"/>
      <c r="F333" s="1"/>
      <c r="G333" s="1"/>
      <c r="H333" s="1"/>
      <c r="I333" s="1"/>
      <c r="J333" s="1"/>
      <c r="K333" s="1"/>
      <c r="L333" s="1"/>
    </row>
    <row r="334" spans="1:12" s="2" customFormat="1" ht="41.25" customHeight="1">
      <c r="A334" s="1"/>
      <c r="B334" s="1"/>
      <c r="C334" s="1"/>
      <c r="D334" s="1"/>
      <c r="E334" s="1"/>
      <c r="F334" s="1"/>
      <c r="G334" s="1"/>
      <c r="H334" s="1"/>
      <c r="I334" s="1"/>
      <c r="J334" s="1"/>
      <c r="K334" s="1"/>
      <c r="L334" s="1"/>
    </row>
    <row r="335" spans="1:12" s="2" customFormat="1" ht="15" customHeight="1">
      <c r="A335" s="1"/>
      <c r="B335" s="1"/>
      <c r="C335" s="1"/>
      <c r="D335" s="1"/>
      <c r="E335" s="1"/>
      <c r="F335" s="1"/>
      <c r="G335" s="1"/>
      <c r="H335" s="1"/>
      <c r="I335" s="1"/>
      <c r="J335" s="1"/>
      <c r="K335" s="1"/>
      <c r="L335" s="1"/>
    </row>
    <row r="336" spans="1:12" s="2" customFormat="1" ht="15" customHeight="1">
      <c r="A336" s="1"/>
      <c r="B336" s="1"/>
      <c r="C336" s="1"/>
      <c r="D336" s="1"/>
      <c r="E336" s="1"/>
      <c r="F336" s="1"/>
      <c r="G336" s="1"/>
      <c r="H336" s="1"/>
      <c r="I336" s="1"/>
      <c r="J336" s="1"/>
      <c r="K336" s="1"/>
      <c r="L336" s="1"/>
    </row>
    <row r="337" spans="1:14" s="2" customFormat="1" ht="15" customHeight="1">
      <c r="A337" s="1"/>
      <c r="B337" s="1"/>
      <c r="C337" s="1"/>
      <c r="D337" s="1"/>
      <c r="E337" s="1"/>
      <c r="F337" s="1"/>
      <c r="G337" s="1"/>
      <c r="H337" s="1"/>
      <c r="I337" s="1"/>
      <c r="J337" s="1"/>
      <c r="K337" s="1"/>
      <c r="L337" s="1"/>
    </row>
    <row r="338" spans="1:14" s="2" customFormat="1" ht="15" customHeight="1">
      <c r="A338" s="1"/>
      <c r="B338" s="1"/>
      <c r="C338" s="1"/>
      <c r="D338" s="1"/>
      <c r="E338" s="1"/>
      <c r="F338" s="1"/>
      <c r="G338" s="1"/>
      <c r="H338" s="1"/>
      <c r="I338" s="1"/>
      <c r="J338" s="1"/>
      <c r="K338" s="1"/>
      <c r="L338" s="1"/>
    </row>
    <row r="339" spans="1:14" s="2" customFormat="1" ht="15" customHeight="1">
      <c r="A339" s="1"/>
      <c r="B339" s="1"/>
      <c r="C339" s="1"/>
      <c r="D339" s="1"/>
      <c r="E339" s="1"/>
      <c r="F339" s="1"/>
      <c r="G339" s="1"/>
      <c r="H339" s="1"/>
      <c r="I339" s="1"/>
      <c r="J339" s="1"/>
      <c r="K339" s="1"/>
      <c r="L339" s="1"/>
    </row>
    <row r="340" spans="1:14" s="2" customFormat="1" ht="15" customHeight="1">
      <c r="A340" s="1"/>
      <c r="B340" s="1"/>
      <c r="C340" s="1"/>
      <c r="D340" s="1"/>
      <c r="E340" s="1"/>
      <c r="F340" s="1"/>
      <c r="G340" s="1"/>
      <c r="H340" s="1"/>
      <c r="I340" s="1"/>
      <c r="J340" s="1"/>
      <c r="K340" s="1"/>
      <c r="L340" s="1"/>
    </row>
    <row r="341" spans="1:14" s="2" customFormat="1" ht="15" customHeight="1">
      <c r="A341" s="1"/>
      <c r="B341" s="1"/>
      <c r="C341" s="1"/>
      <c r="D341" s="1"/>
      <c r="E341" s="1"/>
      <c r="F341" s="1"/>
      <c r="G341" s="1"/>
      <c r="H341" s="1"/>
      <c r="I341" s="1"/>
      <c r="J341" s="1"/>
      <c r="K341" s="1"/>
      <c r="L341" s="1"/>
    </row>
    <row r="342" spans="1:14" s="2" customFormat="1" ht="15" customHeight="1">
      <c r="A342" s="1"/>
      <c r="B342" s="1"/>
      <c r="C342" s="1"/>
      <c r="D342" s="1"/>
      <c r="E342" s="1"/>
      <c r="F342" s="1"/>
      <c r="G342" s="1"/>
      <c r="H342" s="1"/>
      <c r="I342" s="1"/>
      <c r="J342" s="1"/>
      <c r="K342" s="1"/>
      <c r="L342" s="1"/>
    </row>
    <row r="343" spans="1:14" s="2" customFormat="1" ht="15" customHeight="1">
      <c r="A343" s="1"/>
      <c r="B343" s="1"/>
      <c r="C343" s="1"/>
      <c r="D343" s="1"/>
      <c r="E343" s="1"/>
      <c r="F343" s="1"/>
      <c r="G343" s="1"/>
      <c r="H343" s="1"/>
      <c r="I343" s="1"/>
      <c r="J343" s="1"/>
      <c r="K343" s="1"/>
      <c r="L343" s="1"/>
    </row>
    <row r="344" spans="1:14" s="2" customFormat="1" ht="15" customHeight="1">
      <c r="A344" s="1"/>
      <c r="B344" s="1"/>
      <c r="C344" s="1"/>
      <c r="D344" s="1"/>
      <c r="E344" s="1"/>
      <c r="F344" s="1"/>
      <c r="G344" s="1"/>
      <c r="H344" s="1"/>
      <c r="I344" s="1"/>
      <c r="J344" s="1"/>
      <c r="K344" s="1"/>
      <c r="L344" s="1"/>
    </row>
    <row r="345" spans="1:14" s="2" customFormat="1" ht="15" customHeight="1">
      <c r="A345" s="1"/>
      <c r="B345" s="1"/>
      <c r="C345" s="1"/>
      <c r="D345" s="1"/>
      <c r="E345" s="1"/>
      <c r="F345" s="1"/>
      <c r="G345" s="1"/>
      <c r="H345" s="1"/>
      <c r="I345" s="1"/>
      <c r="J345" s="1"/>
      <c r="K345" s="1"/>
      <c r="L345" s="1"/>
    </row>
    <row r="346" spans="1:14" s="2" customFormat="1" ht="15" customHeight="1">
      <c r="A346" s="1"/>
      <c r="B346" s="1"/>
      <c r="C346" s="1"/>
      <c r="D346" s="1"/>
      <c r="E346" s="1"/>
      <c r="F346" s="1"/>
      <c r="G346" s="1"/>
      <c r="H346" s="1"/>
      <c r="I346" s="1"/>
      <c r="J346" s="1"/>
      <c r="K346" s="1"/>
      <c r="L346" s="1"/>
      <c r="N346" s="7"/>
    </row>
    <row r="347" spans="1:14" s="2" customFormat="1" ht="15" customHeight="1">
      <c r="A347" s="1"/>
      <c r="B347" s="1"/>
      <c r="C347" s="1"/>
      <c r="D347" s="1"/>
      <c r="E347" s="1"/>
      <c r="F347" s="1"/>
      <c r="G347" s="1"/>
      <c r="H347" s="1"/>
      <c r="I347" s="1"/>
      <c r="J347" s="1"/>
      <c r="K347" s="1"/>
      <c r="L347" s="1"/>
      <c r="N347" s="7"/>
    </row>
    <row r="348" spans="1:14" s="2" customFormat="1" ht="15" customHeight="1">
      <c r="A348" s="1"/>
      <c r="B348" s="1"/>
      <c r="C348" s="1"/>
      <c r="D348" s="1"/>
      <c r="E348" s="1"/>
      <c r="F348" s="1"/>
      <c r="G348" s="1"/>
      <c r="H348" s="1"/>
      <c r="I348" s="1"/>
      <c r="J348" s="1"/>
      <c r="K348" s="1"/>
      <c r="L348" s="1"/>
      <c r="N348" s="7"/>
    </row>
    <row r="349" spans="1:14" s="2" customFormat="1" ht="22.5" customHeight="1">
      <c r="A349" s="1"/>
      <c r="B349" s="1"/>
      <c r="C349" s="1"/>
      <c r="D349" s="1"/>
      <c r="E349" s="1"/>
      <c r="F349" s="1"/>
      <c r="G349" s="1"/>
      <c r="H349" s="1"/>
      <c r="I349" s="1"/>
      <c r="J349" s="1"/>
      <c r="K349" s="1"/>
      <c r="L349" s="1"/>
      <c r="N349" s="7"/>
    </row>
    <row r="350" spans="1:14" s="2" customFormat="1" ht="15" customHeight="1">
      <c r="A350" s="1"/>
      <c r="B350" s="1"/>
      <c r="C350" s="1"/>
      <c r="D350" s="1"/>
      <c r="E350" s="1"/>
      <c r="F350" s="1"/>
      <c r="G350" s="1"/>
      <c r="H350" s="1"/>
      <c r="I350" s="1"/>
      <c r="J350" s="1"/>
      <c r="K350" s="1"/>
      <c r="L350" s="1"/>
    </row>
    <row r="351" spans="1:14" s="2" customFormat="1" ht="15" customHeight="1">
      <c r="A351" s="1"/>
      <c r="B351" s="1"/>
      <c r="C351" s="1"/>
      <c r="D351" s="1"/>
      <c r="E351" s="1"/>
      <c r="F351" s="1"/>
      <c r="G351" s="1"/>
      <c r="H351" s="1"/>
      <c r="I351" s="1"/>
      <c r="J351" s="1"/>
      <c r="K351" s="1"/>
      <c r="L351" s="1"/>
    </row>
    <row r="352" spans="1:14" s="2" customFormat="1" ht="15" customHeight="1">
      <c r="A352" s="1"/>
      <c r="B352" s="1"/>
      <c r="C352" s="1"/>
      <c r="D352" s="1"/>
      <c r="E352" s="1"/>
      <c r="F352" s="1"/>
      <c r="G352" s="1"/>
      <c r="H352" s="1"/>
      <c r="I352" s="1"/>
      <c r="J352" s="1"/>
      <c r="K352" s="1"/>
      <c r="L352" s="1"/>
    </row>
    <row r="353" spans="1:12" s="2" customFormat="1" ht="9.75" customHeight="1">
      <c r="A353" s="1"/>
      <c r="B353" s="1"/>
      <c r="C353" s="1"/>
      <c r="D353" s="1"/>
      <c r="E353" s="1"/>
      <c r="F353" s="1"/>
      <c r="G353" s="1"/>
      <c r="H353" s="1"/>
      <c r="I353" s="1"/>
      <c r="J353" s="1"/>
      <c r="K353" s="1"/>
      <c r="L353" s="1"/>
    </row>
    <row r="354" spans="1:12" s="2" customFormat="1" ht="26.25" customHeight="1">
      <c r="A354" s="1"/>
      <c r="B354" s="1"/>
      <c r="C354" s="1"/>
      <c r="D354" s="1"/>
      <c r="E354" s="1"/>
      <c r="F354" s="1"/>
      <c r="G354" s="1"/>
      <c r="H354" s="1"/>
      <c r="I354" s="1"/>
      <c r="J354" s="1"/>
      <c r="K354" s="1"/>
      <c r="L354" s="1"/>
    </row>
    <row r="355" spans="1:12" s="2" customFormat="1" ht="26.25" customHeight="1">
      <c r="A355" s="1"/>
      <c r="B355" s="1"/>
      <c r="C355" s="1"/>
      <c r="D355" s="1"/>
      <c r="E355" s="1"/>
      <c r="F355" s="1"/>
      <c r="G355" s="1"/>
      <c r="H355" s="1"/>
      <c r="I355" s="1"/>
      <c r="J355" s="1"/>
      <c r="K355" s="1"/>
      <c r="L355" s="1"/>
    </row>
    <row r="356" spans="1:12" s="2" customFormat="1" ht="15" customHeight="1">
      <c r="A356" s="1"/>
      <c r="B356" s="1"/>
      <c r="C356" s="1"/>
      <c r="D356" s="1"/>
      <c r="E356" s="1"/>
      <c r="F356" s="1"/>
      <c r="G356" s="1"/>
      <c r="H356" s="1"/>
      <c r="I356" s="1"/>
      <c r="J356" s="1"/>
      <c r="K356" s="1"/>
      <c r="L356" s="1"/>
    </row>
    <row r="357" spans="1:12" s="2" customFormat="1" ht="15" customHeight="1">
      <c r="A357" s="1"/>
      <c r="B357" s="1"/>
      <c r="C357" s="1"/>
      <c r="D357" s="1"/>
      <c r="E357" s="1"/>
      <c r="F357" s="1"/>
      <c r="G357" s="1"/>
      <c r="H357" s="1"/>
      <c r="I357" s="1"/>
      <c r="J357" s="1"/>
      <c r="K357" s="1"/>
      <c r="L357" s="1"/>
    </row>
    <row r="358" spans="1:12" s="2" customFormat="1" ht="15" customHeight="1">
      <c r="A358" s="1"/>
      <c r="B358" s="1"/>
      <c r="C358" s="1"/>
      <c r="D358" s="1"/>
      <c r="E358" s="1"/>
      <c r="F358" s="1"/>
      <c r="G358" s="1"/>
      <c r="H358" s="1"/>
      <c r="I358" s="1"/>
      <c r="J358" s="1"/>
      <c r="K358" s="1"/>
      <c r="L358" s="1"/>
    </row>
    <row r="359" spans="1:12" s="2" customFormat="1" ht="15" customHeight="1">
      <c r="A359" s="1"/>
      <c r="B359" s="1"/>
      <c r="C359" s="1"/>
      <c r="D359" s="1"/>
      <c r="E359" s="1"/>
      <c r="F359" s="1"/>
      <c r="G359" s="1"/>
      <c r="H359" s="1"/>
      <c r="I359" s="1"/>
      <c r="J359" s="1"/>
      <c r="K359" s="1"/>
      <c r="L359" s="1"/>
    </row>
    <row r="360" spans="1:12" s="2" customFormat="1" ht="15" customHeight="1">
      <c r="A360" s="1"/>
      <c r="B360" s="1"/>
      <c r="C360" s="1"/>
      <c r="D360" s="1"/>
      <c r="E360" s="1"/>
      <c r="F360" s="1"/>
      <c r="G360" s="1"/>
      <c r="H360" s="1"/>
      <c r="I360" s="1"/>
      <c r="J360" s="1"/>
      <c r="K360" s="1"/>
      <c r="L360" s="1"/>
    </row>
    <row r="361" spans="1:12" s="2" customFormat="1" ht="15" customHeight="1">
      <c r="A361" s="1"/>
      <c r="B361" s="1"/>
      <c r="C361" s="1"/>
      <c r="D361" s="1"/>
      <c r="E361" s="1"/>
      <c r="F361" s="1"/>
      <c r="G361" s="1"/>
      <c r="H361" s="1"/>
      <c r="I361" s="1"/>
      <c r="J361" s="1"/>
      <c r="K361" s="1"/>
      <c r="L361" s="1"/>
    </row>
    <row r="362" spans="1:12" s="2" customFormat="1" ht="15" customHeight="1">
      <c r="A362" s="1"/>
      <c r="B362" s="1"/>
      <c r="C362" s="1"/>
      <c r="D362" s="1"/>
      <c r="E362" s="1"/>
      <c r="F362" s="1"/>
      <c r="G362" s="1"/>
      <c r="H362" s="1"/>
      <c r="I362" s="1"/>
      <c r="J362" s="1"/>
      <c r="K362" s="1"/>
      <c r="L362" s="1"/>
    </row>
    <row r="363" spans="1:12" s="2" customFormat="1" ht="7.5" customHeight="1">
      <c r="A363" s="1"/>
      <c r="B363" s="1"/>
      <c r="C363" s="1"/>
      <c r="D363" s="1"/>
      <c r="E363" s="1"/>
      <c r="F363" s="1"/>
      <c r="G363" s="1"/>
      <c r="H363" s="1"/>
      <c r="I363" s="1"/>
      <c r="J363" s="1"/>
      <c r="K363" s="1"/>
      <c r="L363" s="1"/>
    </row>
    <row r="364" spans="1:12" s="2" customFormat="1" ht="15" customHeight="1">
      <c r="A364" s="1"/>
      <c r="B364" s="1"/>
      <c r="C364" s="1"/>
      <c r="D364" s="1"/>
      <c r="E364" s="1"/>
      <c r="F364" s="1"/>
      <c r="G364" s="1"/>
      <c r="H364" s="1"/>
      <c r="I364" s="1"/>
      <c r="J364" s="1"/>
      <c r="K364" s="1"/>
      <c r="L364" s="1"/>
    </row>
    <row r="365" spans="1:12" s="2" customFormat="1" ht="7.5" customHeight="1">
      <c r="A365" s="1"/>
      <c r="B365" s="1"/>
      <c r="C365" s="1"/>
      <c r="D365" s="1"/>
      <c r="E365" s="1"/>
      <c r="F365" s="1"/>
      <c r="G365" s="1"/>
      <c r="H365" s="1"/>
      <c r="I365" s="1"/>
      <c r="J365" s="1"/>
      <c r="K365" s="1"/>
      <c r="L365" s="1"/>
    </row>
    <row r="366" spans="1:12" s="2" customFormat="1" ht="30" customHeight="1">
      <c r="A366" s="1"/>
      <c r="B366" s="1"/>
      <c r="C366" s="1"/>
      <c r="D366" s="1"/>
      <c r="E366" s="1"/>
      <c r="F366" s="1"/>
      <c r="G366" s="1"/>
      <c r="H366" s="1"/>
      <c r="I366" s="1"/>
      <c r="J366" s="1"/>
      <c r="K366" s="1"/>
      <c r="L366" s="1"/>
    </row>
    <row r="367" spans="1:12" s="2" customFormat="1" ht="7.5" customHeight="1">
      <c r="A367" s="1"/>
      <c r="B367" s="1"/>
      <c r="C367" s="1"/>
      <c r="D367" s="1"/>
      <c r="E367" s="1"/>
      <c r="F367" s="1"/>
      <c r="G367" s="1"/>
      <c r="H367" s="1"/>
      <c r="I367" s="1"/>
      <c r="J367" s="1"/>
      <c r="K367" s="1"/>
      <c r="L367" s="1"/>
    </row>
    <row r="368" spans="1:12" s="2" customFormat="1" ht="30" customHeight="1">
      <c r="A368" s="1"/>
      <c r="B368" s="1"/>
      <c r="C368" s="1"/>
      <c r="D368" s="1"/>
      <c r="E368" s="1"/>
      <c r="F368" s="1"/>
      <c r="G368" s="1"/>
      <c r="H368" s="1"/>
      <c r="I368" s="1"/>
      <c r="J368" s="1"/>
      <c r="K368" s="1"/>
      <c r="L368" s="1"/>
    </row>
    <row r="369" spans="1:12" s="2" customFormat="1" ht="15" customHeight="1">
      <c r="A369" s="1"/>
      <c r="B369" s="1"/>
      <c r="C369" s="1"/>
      <c r="D369" s="1"/>
      <c r="E369" s="1"/>
      <c r="F369" s="1"/>
      <c r="G369" s="1"/>
      <c r="H369" s="1"/>
      <c r="I369" s="1"/>
      <c r="J369" s="1"/>
      <c r="K369" s="1"/>
      <c r="L369" s="1"/>
    </row>
    <row r="370" spans="1:12" s="2" customFormat="1" ht="15" customHeight="1">
      <c r="A370" s="1"/>
      <c r="B370" s="1"/>
      <c r="C370" s="1"/>
      <c r="D370" s="1"/>
      <c r="E370" s="1"/>
      <c r="F370" s="1"/>
      <c r="G370" s="1"/>
      <c r="H370" s="1"/>
      <c r="I370" s="1"/>
      <c r="J370" s="1"/>
      <c r="K370" s="1"/>
      <c r="L370" s="1"/>
    </row>
    <row r="371" spans="1:12" s="2" customFormat="1" ht="15" customHeight="1">
      <c r="A371" s="1"/>
      <c r="B371" s="1"/>
      <c r="C371" s="1"/>
      <c r="D371" s="1"/>
      <c r="E371" s="1"/>
      <c r="F371" s="1"/>
      <c r="G371" s="1"/>
      <c r="H371" s="1"/>
      <c r="I371" s="1"/>
      <c r="J371" s="1"/>
      <c r="K371" s="1"/>
      <c r="L371" s="1"/>
    </row>
    <row r="372" spans="1:12" s="2" customFormat="1" ht="15" customHeight="1">
      <c r="A372" s="1"/>
      <c r="B372" s="1"/>
      <c r="C372" s="1"/>
      <c r="D372" s="1"/>
      <c r="E372" s="1"/>
      <c r="F372" s="1"/>
      <c r="G372" s="1"/>
      <c r="H372" s="1"/>
      <c r="I372" s="1"/>
      <c r="J372" s="1"/>
      <c r="K372" s="1"/>
      <c r="L372" s="1"/>
    </row>
    <row r="373" spans="1:12" s="2" customFormat="1" ht="15" customHeight="1">
      <c r="A373" s="1"/>
      <c r="B373" s="1"/>
      <c r="C373" s="1"/>
      <c r="D373" s="1"/>
      <c r="E373" s="1"/>
      <c r="F373" s="1"/>
      <c r="G373" s="1"/>
      <c r="H373" s="1"/>
      <c r="I373" s="1"/>
      <c r="J373" s="1"/>
      <c r="K373" s="1"/>
      <c r="L373" s="1"/>
    </row>
    <row r="374" spans="1:12" s="2" customFormat="1" ht="15" customHeight="1">
      <c r="A374" s="1"/>
      <c r="B374" s="1"/>
      <c r="C374" s="1"/>
      <c r="D374" s="1"/>
      <c r="E374" s="1"/>
      <c r="F374" s="1"/>
      <c r="G374" s="1"/>
      <c r="H374" s="1"/>
      <c r="I374" s="1"/>
      <c r="J374" s="1"/>
      <c r="K374" s="1"/>
      <c r="L374" s="1"/>
    </row>
    <row r="375" spans="1:12" s="2" customFormat="1" ht="15" customHeight="1">
      <c r="A375" s="1"/>
      <c r="B375" s="1"/>
      <c r="C375" s="1"/>
      <c r="D375" s="1"/>
      <c r="E375" s="1"/>
      <c r="F375" s="1"/>
      <c r="G375" s="1"/>
      <c r="H375" s="1"/>
      <c r="I375" s="1"/>
      <c r="J375" s="1"/>
      <c r="K375" s="1"/>
      <c r="L375" s="1"/>
    </row>
    <row r="376" spans="1:12" s="2" customFormat="1" ht="15" customHeight="1">
      <c r="A376" s="1"/>
      <c r="B376" s="1"/>
      <c r="C376" s="1"/>
      <c r="D376" s="1"/>
      <c r="E376" s="1"/>
      <c r="F376" s="1"/>
      <c r="G376" s="1"/>
      <c r="H376" s="1"/>
      <c r="I376" s="1"/>
      <c r="J376" s="1"/>
      <c r="K376" s="1"/>
      <c r="L376" s="1"/>
    </row>
    <row r="377" spans="1:12" s="2" customFormat="1" ht="15" customHeight="1">
      <c r="A377" s="1"/>
      <c r="B377" s="1"/>
      <c r="C377" s="1"/>
      <c r="D377" s="1"/>
      <c r="E377" s="1"/>
      <c r="F377" s="1"/>
      <c r="G377" s="1"/>
      <c r="H377" s="1"/>
      <c r="I377" s="1"/>
      <c r="J377" s="1"/>
      <c r="K377" s="1"/>
      <c r="L377" s="1"/>
    </row>
    <row r="378" spans="1:12" s="2" customFormat="1" ht="7.5" customHeight="1">
      <c r="A378" s="1"/>
      <c r="B378" s="1"/>
      <c r="C378" s="1"/>
      <c r="D378" s="1"/>
      <c r="E378" s="1"/>
      <c r="F378" s="1"/>
      <c r="G378" s="1"/>
      <c r="H378" s="1"/>
      <c r="I378" s="1"/>
      <c r="J378" s="1"/>
      <c r="K378" s="1"/>
      <c r="L378" s="1"/>
    </row>
    <row r="379" spans="1:12" s="2" customFormat="1" ht="15" customHeight="1">
      <c r="A379" s="1"/>
      <c r="B379" s="1"/>
      <c r="C379" s="1"/>
      <c r="D379" s="1"/>
      <c r="E379" s="1"/>
      <c r="F379" s="1"/>
      <c r="G379" s="1"/>
      <c r="H379" s="1"/>
      <c r="I379" s="1"/>
      <c r="J379" s="1"/>
      <c r="K379" s="1"/>
      <c r="L379" s="1"/>
    </row>
    <row r="380" spans="1:12" s="2" customFormat="1" ht="7.5" customHeight="1">
      <c r="A380" s="1"/>
      <c r="B380" s="1"/>
      <c r="C380" s="1"/>
      <c r="D380" s="1"/>
      <c r="E380" s="1"/>
      <c r="F380" s="1"/>
      <c r="G380" s="1"/>
      <c r="H380" s="1"/>
      <c r="I380" s="1"/>
      <c r="J380" s="1"/>
      <c r="K380" s="1"/>
      <c r="L380" s="1"/>
    </row>
    <row r="381" spans="1:12" s="2" customFormat="1" ht="30" customHeight="1">
      <c r="A381" s="1"/>
      <c r="B381" s="1"/>
      <c r="C381" s="1"/>
      <c r="D381" s="1"/>
      <c r="E381" s="1"/>
      <c r="F381" s="1"/>
      <c r="G381" s="1"/>
      <c r="H381" s="1"/>
      <c r="I381" s="1"/>
      <c r="J381" s="1"/>
      <c r="K381" s="1"/>
      <c r="L381" s="1"/>
    </row>
    <row r="382" spans="1:12" s="2" customFormat="1" ht="7.5" customHeight="1">
      <c r="A382" s="1"/>
      <c r="B382" s="1"/>
      <c r="C382" s="1"/>
      <c r="D382" s="1"/>
      <c r="E382" s="1"/>
      <c r="F382" s="1"/>
      <c r="G382" s="1"/>
      <c r="H382" s="1"/>
      <c r="I382" s="1"/>
      <c r="J382" s="1"/>
      <c r="K382" s="1"/>
      <c r="L382" s="1"/>
    </row>
    <row r="383" spans="1:12" s="2" customFormat="1" ht="30" customHeight="1">
      <c r="A383" s="1"/>
      <c r="B383" s="1"/>
      <c r="C383" s="1"/>
      <c r="D383" s="1"/>
      <c r="E383" s="1"/>
      <c r="F383" s="1"/>
      <c r="G383" s="1"/>
      <c r="H383" s="1"/>
      <c r="I383" s="1"/>
      <c r="J383" s="1"/>
      <c r="K383" s="1"/>
      <c r="L383" s="1"/>
    </row>
    <row r="384" spans="1:12" s="2" customFormat="1" ht="15" customHeight="1">
      <c r="A384" s="1"/>
      <c r="B384" s="1"/>
      <c r="C384" s="1"/>
      <c r="D384" s="1"/>
      <c r="E384" s="1"/>
      <c r="F384" s="1"/>
      <c r="G384" s="1"/>
      <c r="H384" s="1"/>
      <c r="I384" s="1"/>
      <c r="J384" s="1"/>
      <c r="K384" s="1"/>
      <c r="L384" s="1"/>
    </row>
    <row r="385" spans="1:16" s="2" customFormat="1" ht="15" customHeight="1">
      <c r="A385" s="1"/>
      <c r="B385" s="1"/>
      <c r="C385" s="1"/>
      <c r="D385" s="1"/>
      <c r="E385" s="1"/>
      <c r="F385" s="1"/>
      <c r="G385" s="1"/>
      <c r="H385" s="1"/>
      <c r="I385" s="1"/>
      <c r="J385" s="1"/>
      <c r="K385" s="1"/>
      <c r="L385" s="1"/>
    </row>
    <row r="386" spans="1:16" s="2" customFormat="1" ht="15" customHeight="1">
      <c r="A386" s="1"/>
      <c r="B386" s="1"/>
      <c r="C386" s="1"/>
      <c r="D386" s="1"/>
      <c r="E386" s="1"/>
      <c r="F386" s="1"/>
      <c r="G386" s="1"/>
      <c r="H386" s="1"/>
      <c r="I386" s="1"/>
      <c r="J386" s="1"/>
      <c r="K386" s="1"/>
      <c r="L386" s="1"/>
    </row>
    <row r="387" spans="1:16" s="2" customFormat="1" ht="15" customHeight="1">
      <c r="A387" s="1"/>
      <c r="B387" s="1"/>
      <c r="C387" s="1"/>
      <c r="D387" s="1"/>
      <c r="E387" s="1"/>
      <c r="F387" s="1"/>
      <c r="G387" s="1"/>
      <c r="H387" s="1"/>
      <c r="I387" s="1"/>
      <c r="J387" s="1"/>
      <c r="K387" s="1"/>
      <c r="L387" s="1"/>
    </row>
    <row r="388" spans="1:16" s="2" customFormat="1" ht="15" customHeight="1">
      <c r="A388" s="1"/>
      <c r="B388" s="1"/>
      <c r="C388" s="1"/>
      <c r="D388" s="1"/>
      <c r="E388" s="1"/>
      <c r="F388" s="1"/>
      <c r="G388" s="1"/>
      <c r="H388" s="1"/>
      <c r="I388" s="1"/>
      <c r="J388" s="1"/>
      <c r="K388" s="1"/>
      <c r="L388" s="1"/>
    </row>
    <row r="389" spans="1:16" s="2" customFormat="1" ht="15" customHeight="1">
      <c r="A389" s="1"/>
      <c r="B389" s="1"/>
      <c r="C389" s="1"/>
      <c r="D389" s="1"/>
      <c r="E389" s="1"/>
      <c r="F389" s="1"/>
      <c r="G389" s="1"/>
      <c r="H389" s="1"/>
      <c r="I389" s="1"/>
      <c r="J389" s="1"/>
      <c r="K389" s="1"/>
      <c r="L389" s="1"/>
    </row>
    <row r="390" spans="1:16" s="2" customFormat="1" ht="15" customHeight="1">
      <c r="A390" s="1"/>
      <c r="B390" s="1"/>
      <c r="C390" s="1"/>
      <c r="D390" s="1"/>
      <c r="E390" s="1"/>
      <c r="F390" s="1"/>
      <c r="G390" s="1"/>
      <c r="H390" s="1"/>
      <c r="I390" s="1"/>
      <c r="J390" s="1"/>
      <c r="K390" s="1"/>
      <c r="L390" s="1"/>
    </row>
    <row r="391" spans="1:16" s="2" customFormat="1" ht="15" customHeight="1">
      <c r="A391" s="1"/>
      <c r="B391" s="1"/>
      <c r="C391" s="1"/>
      <c r="D391" s="1"/>
      <c r="E391" s="1"/>
      <c r="F391" s="1"/>
      <c r="G391" s="1"/>
      <c r="H391" s="1"/>
      <c r="I391" s="1"/>
      <c r="J391" s="1"/>
      <c r="K391" s="1"/>
      <c r="L391" s="1"/>
    </row>
    <row r="392" spans="1:16" s="2" customFormat="1" ht="15" customHeight="1">
      <c r="A392" s="1"/>
      <c r="B392" s="1"/>
      <c r="C392" s="1"/>
      <c r="D392" s="1"/>
      <c r="E392" s="1"/>
      <c r="F392" s="1"/>
      <c r="G392" s="1"/>
      <c r="H392" s="1"/>
      <c r="I392" s="1"/>
      <c r="J392" s="1"/>
      <c r="K392" s="1"/>
      <c r="L392" s="1"/>
    </row>
    <row r="393" spans="1:16" s="2" customFormat="1" ht="15" customHeight="1">
      <c r="A393" s="1"/>
      <c r="B393" s="1"/>
      <c r="C393" s="1"/>
      <c r="D393" s="1"/>
      <c r="E393" s="1"/>
      <c r="F393" s="1"/>
      <c r="G393" s="1"/>
      <c r="H393" s="1"/>
      <c r="I393" s="1"/>
      <c r="J393" s="1"/>
      <c r="K393" s="1"/>
      <c r="L393" s="1"/>
    </row>
    <row r="394" spans="1:16" s="2" customFormat="1" ht="15" customHeight="1">
      <c r="A394" s="1"/>
      <c r="B394" s="1"/>
      <c r="C394" s="1"/>
      <c r="D394" s="1"/>
      <c r="E394" s="1"/>
      <c r="F394" s="1"/>
      <c r="G394" s="1"/>
      <c r="H394" s="1"/>
      <c r="I394" s="1"/>
      <c r="J394" s="1"/>
      <c r="K394" s="1"/>
      <c r="L394" s="1"/>
    </row>
    <row r="395" spans="1:16" s="2" customFormat="1" ht="15" customHeight="1">
      <c r="A395" s="1"/>
      <c r="B395" s="1"/>
      <c r="C395" s="1"/>
      <c r="D395" s="1"/>
      <c r="E395" s="1"/>
      <c r="F395" s="1"/>
      <c r="G395" s="1"/>
      <c r="H395" s="1"/>
      <c r="I395" s="1"/>
      <c r="J395" s="1"/>
      <c r="K395" s="1"/>
      <c r="L395" s="1"/>
    </row>
    <row r="396" spans="1:16" s="2" customFormat="1" ht="15" customHeight="1">
      <c r="A396" s="1"/>
      <c r="B396" s="1"/>
      <c r="C396" s="1"/>
      <c r="D396" s="1"/>
      <c r="E396" s="1"/>
      <c r="F396" s="1"/>
      <c r="G396" s="1"/>
      <c r="H396" s="1"/>
      <c r="I396" s="1"/>
      <c r="J396" s="1"/>
      <c r="K396" s="1"/>
      <c r="L396" s="1"/>
    </row>
    <row r="397" spans="1:16" s="2" customFormat="1" ht="15" customHeight="1">
      <c r="A397" s="1"/>
      <c r="B397" s="1"/>
      <c r="C397" s="1"/>
      <c r="D397" s="1"/>
      <c r="E397" s="1"/>
      <c r="F397" s="1"/>
      <c r="G397" s="1"/>
      <c r="H397" s="1"/>
      <c r="I397" s="1"/>
      <c r="J397" s="1"/>
      <c r="K397" s="1"/>
      <c r="L397" s="1"/>
    </row>
    <row r="398" spans="1:16" s="2" customFormat="1" ht="15" customHeight="1">
      <c r="A398" s="1"/>
      <c r="B398" s="1"/>
      <c r="C398" s="1"/>
      <c r="D398" s="1"/>
      <c r="E398" s="1"/>
      <c r="F398" s="1"/>
      <c r="G398" s="1"/>
      <c r="H398" s="1"/>
      <c r="I398" s="1"/>
      <c r="J398" s="1"/>
      <c r="K398" s="1"/>
      <c r="L398" s="1"/>
    </row>
    <row r="399" spans="1:16" s="2" customFormat="1" ht="7.5" customHeight="1">
      <c r="A399" s="1"/>
      <c r="B399" s="1"/>
      <c r="C399" s="1"/>
      <c r="D399" s="1"/>
      <c r="E399" s="1"/>
      <c r="F399" s="1"/>
      <c r="G399" s="1"/>
      <c r="H399" s="1"/>
      <c r="I399" s="1"/>
      <c r="J399" s="1"/>
      <c r="K399" s="1"/>
      <c r="L399" s="1"/>
      <c r="O399" s="1"/>
      <c r="P399" s="1"/>
    </row>
    <row r="400" spans="1:16" s="2" customFormat="1" ht="15" customHeight="1">
      <c r="A400" s="1"/>
      <c r="B400" s="1"/>
      <c r="C400" s="1"/>
      <c r="D400" s="1"/>
      <c r="E400" s="1"/>
      <c r="F400" s="1"/>
      <c r="G400" s="1"/>
      <c r="H400" s="1"/>
      <c r="I400" s="1"/>
      <c r="J400" s="1"/>
      <c r="K400" s="1"/>
      <c r="L400" s="1"/>
      <c r="O400" s="1"/>
      <c r="P400" s="1"/>
    </row>
    <row r="401" spans="1:19" s="2" customFormat="1" ht="7.5" customHeight="1">
      <c r="A401" s="1"/>
      <c r="B401" s="1"/>
      <c r="C401" s="1"/>
      <c r="D401" s="1"/>
      <c r="E401" s="1"/>
      <c r="F401" s="1"/>
      <c r="G401" s="1"/>
      <c r="H401" s="1"/>
      <c r="I401" s="1"/>
      <c r="J401" s="1"/>
      <c r="K401" s="1"/>
      <c r="L401" s="1"/>
      <c r="O401" s="1"/>
      <c r="P401" s="1"/>
    </row>
    <row r="402" spans="1:19" s="2" customFormat="1" ht="15" customHeight="1">
      <c r="A402" s="1"/>
      <c r="B402" s="1"/>
      <c r="C402" s="1"/>
      <c r="D402" s="1"/>
      <c r="E402" s="1"/>
      <c r="F402" s="1"/>
      <c r="G402" s="1"/>
      <c r="H402" s="1"/>
      <c r="I402" s="1"/>
      <c r="J402" s="1"/>
      <c r="K402" s="1"/>
      <c r="L402" s="1"/>
      <c r="O402" s="1"/>
      <c r="P402" s="1"/>
    </row>
    <row r="403" spans="1:19" s="2" customFormat="1" ht="15" customHeight="1">
      <c r="A403" s="1"/>
      <c r="B403" s="1"/>
      <c r="C403" s="1"/>
      <c r="D403" s="1"/>
      <c r="E403" s="1"/>
      <c r="F403" s="1"/>
      <c r="G403" s="1"/>
      <c r="H403" s="1"/>
      <c r="I403" s="1"/>
      <c r="J403" s="1"/>
      <c r="K403" s="1"/>
      <c r="L403" s="1"/>
      <c r="N403" s="1"/>
      <c r="O403" s="1"/>
      <c r="P403" s="1"/>
    </row>
    <row r="404" spans="1:19" s="2" customFormat="1" ht="15" customHeight="1">
      <c r="A404" s="1"/>
      <c r="B404" s="1"/>
      <c r="C404" s="1"/>
      <c r="D404" s="1"/>
      <c r="E404" s="1"/>
      <c r="F404" s="1"/>
      <c r="G404" s="1"/>
      <c r="H404" s="1"/>
      <c r="I404" s="1"/>
      <c r="J404" s="1"/>
      <c r="K404" s="1"/>
      <c r="L404" s="1"/>
      <c r="N404" s="1"/>
    </row>
    <row r="405" spans="1:19" s="2" customFormat="1" ht="15" customHeight="1">
      <c r="A405" s="1"/>
      <c r="B405" s="1"/>
      <c r="C405" s="1"/>
      <c r="D405" s="1"/>
      <c r="E405" s="1"/>
      <c r="F405" s="1"/>
      <c r="G405" s="1"/>
      <c r="H405" s="1"/>
      <c r="I405" s="1"/>
      <c r="J405" s="1"/>
      <c r="K405" s="1"/>
      <c r="L405" s="1"/>
      <c r="N405" s="1"/>
      <c r="O405" s="1"/>
      <c r="P405" s="1"/>
    </row>
    <row r="406" spans="1:19" s="2" customFormat="1" ht="15" customHeight="1">
      <c r="A406" s="1"/>
      <c r="B406" s="1"/>
      <c r="C406" s="1"/>
      <c r="D406" s="1"/>
      <c r="E406" s="1"/>
      <c r="F406" s="1"/>
      <c r="G406" s="1"/>
      <c r="H406" s="1"/>
      <c r="I406" s="1"/>
      <c r="J406" s="1"/>
      <c r="K406" s="1"/>
      <c r="L406" s="1"/>
      <c r="N406" s="1"/>
      <c r="O406" s="1"/>
      <c r="P406" s="1"/>
      <c r="Q406" s="1"/>
    </row>
    <row r="407" spans="1:19" s="2" customFormat="1" ht="15" customHeight="1">
      <c r="A407" s="1"/>
      <c r="B407" s="1"/>
      <c r="C407" s="1"/>
      <c r="D407" s="1"/>
      <c r="E407" s="1"/>
      <c r="F407" s="1"/>
      <c r="G407" s="1"/>
      <c r="H407" s="1"/>
      <c r="I407" s="1"/>
      <c r="J407" s="1"/>
      <c r="K407" s="1"/>
      <c r="L407" s="1"/>
      <c r="N407" s="1"/>
      <c r="O407" s="1"/>
      <c r="P407" s="1"/>
      <c r="Q407" s="1"/>
    </row>
    <row r="408" spans="1:19" ht="15" customHeight="1">
      <c r="M408" s="2"/>
      <c r="N408" s="2"/>
      <c r="R408" s="2"/>
      <c r="S408" s="2"/>
    </row>
    <row r="409" spans="1:19" ht="30" customHeight="1">
      <c r="R409" s="2"/>
    </row>
    <row r="410" spans="1:19" ht="15" customHeight="1">
      <c r="R410" s="2"/>
    </row>
    <row r="411" spans="1:19" ht="15" customHeight="1">
      <c r="Q411" s="2"/>
    </row>
    <row r="412" spans="1:19" ht="15" customHeight="1"/>
    <row r="413" spans="1:19" s="2" customFormat="1" ht="15" customHeight="1">
      <c r="A413" s="1"/>
      <c r="B413" s="1"/>
      <c r="C413" s="1"/>
      <c r="D413" s="1"/>
      <c r="E413" s="1"/>
      <c r="F413" s="1"/>
      <c r="G413" s="1"/>
      <c r="H413" s="1"/>
      <c r="I413" s="1"/>
      <c r="J413" s="1"/>
      <c r="K413" s="1"/>
      <c r="L413" s="1"/>
      <c r="M413" s="1"/>
      <c r="N413" s="1"/>
      <c r="O413" s="1"/>
      <c r="P413" s="1"/>
      <c r="Q413" s="1"/>
      <c r="R413" s="1"/>
      <c r="S413" s="1"/>
    </row>
    <row r="414" spans="1:19">
      <c r="M414" s="2"/>
      <c r="S414" s="2"/>
    </row>
    <row r="416" spans="1:19">
      <c r="R416" s="2"/>
    </row>
  </sheetData>
  <sheetProtection password="CC9A" sheet="1" objects="1" scenarios="1" formatCells="0" formatRows="0" insertRows="0" deleteRows="0"/>
  <mergeCells count="130">
    <mergeCell ref="A140:L140"/>
    <mergeCell ref="B141:J141"/>
    <mergeCell ref="K141:L141"/>
    <mergeCell ref="B142:G142"/>
    <mergeCell ref="I142:L142"/>
    <mergeCell ref="B99:K100"/>
    <mergeCell ref="K107:L107"/>
    <mergeCell ref="K108:L108"/>
    <mergeCell ref="K70:L70"/>
    <mergeCell ref="B95:J95"/>
    <mergeCell ref="B96:G96"/>
    <mergeCell ref="K123:L123"/>
    <mergeCell ref="K120:L120"/>
    <mergeCell ref="K121:L121"/>
    <mergeCell ref="K122:L122"/>
    <mergeCell ref="K68:L68"/>
    <mergeCell ref="K110:L110"/>
    <mergeCell ref="K119:L119"/>
    <mergeCell ref="K38:L38"/>
    <mergeCell ref="K40:L40"/>
    <mergeCell ref="K111:L111"/>
    <mergeCell ref="K109:L109"/>
    <mergeCell ref="K117:L117"/>
    <mergeCell ref="K118:L118"/>
    <mergeCell ref="K95:L95"/>
    <mergeCell ref="I96:L96"/>
    <mergeCell ref="B3:J3"/>
    <mergeCell ref="K3:L3"/>
    <mergeCell ref="C5:D5"/>
    <mergeCell ref="K5:K6"/>
    <mergeCell ref="A53:L53"/>
    <mergeCell ref="Q17:Q19"/>
    <mergeCell ref="K29:L29"/>
    <mergeCell ref="K30:L30"/>
    <mergeCell ref="K34:L34"/>
    <mergeCell ref="K31:L31"/>
    <mergeCell ref="E5:E6"/>
    <mergeCell ref="F5:G5"/>
    <mergeCell ref="F6:G6"/>
    <mergeCell ref="I5:J5"/>
    <mergeCell ref="I6:J6"/>
    <mergeCell ref="H5:H6"/>
    <mergeCell ref="B17:K19"/>
    <mergeCell ref="K22:L22"/>
    <mergeCell ref="K28:L28"/>
    <mergeCell ref="K158:L158"/>
    <mergeCell ref="K155:L155"/>
    <mergeCell ref="K131:L131"/>
    <mergeCell ref="K133:L133"/>
    <mergeCell ref="K135:L135"/>
    <mergeCell ref="C195:E195"/>
    <mergeCell ref="A2:L2"/>
    <mergeCell ref="B4:G4"/>
    <mergeCell ref="I4:L4"/>
    <mergeCell ref="K66:L66"/>
    <mergeCell ref="B5:B6"/>
    <mergeCell ref="B54:J54"/>
    <mergeCell ref="K54:L54"/>
    <mergeCell ref="B55:G55"/>
    <mergeCell ref="I55:L55"/>
    <mergeCell ref="K24:L24"/>
    <mergeCell ref="K25:L25"/>
    <mergeCell ref="K26:L26"/>
    <mergeCell ref="K27:L27"/>
    <mergeCell ref="K21:L21"/>
    <mergeCell ref="K36:L36"/>
    <mergeCell ref="C6:D6"/>
    <mergeCell ref="K156:L156"/>
    <mergeCell ref="A94:L94"/>
    <mergeCell ref="C191:J191"/>
    <mergeCell ref="K160:L160"/>
    <mergeCell ref="K162:L162"/>
    <mergeCell ref="C193:E193"/>
    <mergeCell ref="C194:E194"/>
    <mergeCell ref="F192:K192"/>
    <mergeCell ref="F193:K193"/>
    <mergeCell ref="F194:K194"/>
    <mergeCell ref="Q209:Q210"/>
    <mergeCell ref="A184:L184"/>
    <mergeCell ref="B185:J185"/>
    <mergeCell ref="K185:L185"/>
    <mergeCell ref="K213:L213"/>
    <mergeCell ref="K212:L212"/>
    <mergeCell ref="I186:L186"/>
    <mergeCell ref="B186:G186"/>
    <mergeCell ref="F195:K195"/>
    <mergeCell ref="B189:K190"/>
    <mergeCell ref="C192:E192"/>
    <mergeCell ref="K217:L217"/>
    <mergeCell ref="B310:K312"/>
    <mergeCell ref="K303:L303"/>
    <mergeCell ref="K304:L304"/>
    <mergeCell ref="K305:L305"/>
    <mergeCell ref="K306:L306"/>
    <mergeCell ref="K308:L308"/>
    <mergeCell ref="C255:H255"/>
    <mergeCell ref="K258:L258"/>
    <mergeCell ref="K260:L260"/>
    <mergeCell ref="K262:L262"/>
    <mergeCell ref="K300:L300"/>
    <mergeCell ref="K290:L290"/>
    <mergeCell ref="K291:L291"/>
    <mergeCell ref="K292:L292"/>
    <mergeCell ref="K293:L293"/>
    <mergeCell ref="K299:L299"/>
    <mergeCell ref="I280:L280"/>
    <mergeCell ref="B280:G280"/>
    <mergeCell ref="A278:L278"/>
    <mergeCell ref="K271:L271"/>
    <mergeCell ref="K269:L269"/>
    <mergeCell ref="B279:J279"/>
    <mergeCell ref="K279:L279"/>
    <mergeCell ref="K268:L268"/>
    <mergeCell ref="K273:L273"/>
    <mergeCell ref="D252:G252"/>
    <mergeCell ref="K247:L247"/>
    <mergeCell ref="K246:L246"/>
    <mergeCell ref="K222:L222"/>
    <mergeCell ref="K245:L245"/>
    <mergeCell ref="K225:L225"/>
    <mergeCell ref="B234:K236"/>
    <mergeCell ref="K244:L244"/>
    <mergeCell ref="K248:L248"/>
    <mergeCell ref="K249:L249"/>
    <mergeCell ref="K250:L250"/>
    <mergeCell ref="A229:L229"/>
    <mergeCell ref="B230:J230"/>
    <mergeCell ref="K230:L230"/>
    <mergeCell ref="B231:G231"/>
    <mergeCell ref="I231:L231"/>
  </mergeCells>
  <phoneticPr fontId="3"/>
  <conditionalFormatting sqref="I281 I275:I277">
    <cfRule type="cellIs" dxfId="8" priority="7" stopIfTrue="1" operator="greaterThan">
      <formula>0.1</formula>
    </cfRule>
  </conditionalFormatting>
  <conditionalFormatting sqref="I294">
    <cfRule type="expression" dxfId="7" priority="5" stopIfTrue="1">
      <formula>$I$294&lt;&gt;1</formula>
    </cfRule>
  </conditionalFormatting>
  <conditionalFormatting sqref="I295">
    <cfRule type="expression" dxfId="6" priority="4" stopIfTrue="1">
      <formula>$I$295&lt;&gt;0.5</formula>
    </cfRule>
  </conditionalFormatting>
  <conditionalFormatting sqref="I296">
    <cfRule type="expression" dxfId="5" priority="3" stopIfTrue="1">
      <formula>$I$296&lt;&gt;0.8</formula>
    </cfRule>
  </conditionalFormatting>
  <conditionalFormatting sqref="I297">
    <cfRule type="expression" dxfId="4" priority="2" stopIfTrue="1">
      <formula>$I$297&lt;&gt;1</formula>
    </cfRule>
  </conditionalFormatting>
  <conditionalFormatting sqref="I264:I266">
    <cfRule type="cellIs" dxfId="3" priority="1" stopIfTrue="1" operator="greaterThan">
      <formula>0.1</formula>
    </cfRule>
  </conditionalFormatting>
  <dataValidations count="1">
    <dataValidation type="list" allowBlank="1" showInputMessage="1" showErrorMessage="1" sqref="H252 H125">
      <formula1>"（選択）,湿　式,乾　式"</formula1>
    </dataValidation>
  </dataValidations>
  <pageMargins left="0.78740157480314965" right="0.51181102362204722" top="0.59055118110236227" bottom="0.59055118110236227" header="0.19685039370078741" footer="0.1968503937007874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Normal="100" zoomScaleSheetLayoutView="100" workbookViewId="0">
      <selection activeCell="B4" sqref="B4:E4"/>
    </sheetView>
  </sheetViews>
  <sheetFormatPr defaultColWidth="9" defaultRowHeight="13.5"/>
  <cols>
    <col min="1" max="1" width="8.25" style="1" customWidth="1"/>
    <col min="2" max="2" width="9.5" style="1" customWidth="1"/>
    <col min="3" max="3" width="9.125" style="1" customWidth="1"/>
    <col min="4" max="4" width="12.25" style="1" customWidth="1"/>
    <col min="5" max="5" width="11" style="1" customWidth="1"/>
    <col min="6" max="8" width="9.125" style="1" customWidth="1"/>
    <col min="9" max="9" width="6.875" style="1" customWidth="1"/>
    <col min="10" max="10" width="6" style="1" customWidth="1"/>
    <col min="11" max="11" width="5.625" style="1" customWidth="1"/>
    <col min="12" max="15" width="9" style="1" customWidth="1"/>
    <col min="16" max="16384" width="9" style="1"/>
  </cols>
  <sheetData>
    <row r="1" spans="1:10" ht="14.25" thickBot="1">
      <c r="A1" s="304"/>
      <c r="B1" s="304"/>
      <c r="C1" s="304"/>
      <c r="D1" s="304"/>
      <c r="E1" s="304"/>
      <c r="F1" s="304"/>
      <c r="G1" s="304"/>
      <c r="H1" s="304"/>
      <c r="I1" s="304"/>
      <c r="J1" s="309"/>
    </row>
    <row r="2" spans="1:10" s="2" customFormat="1" ht="18.75" customHeight="1" thickTop="1" thickBot="1">
      <c r="A2" s="864" t="s">
        <v>196</v>
      </c>
      <c r="B2" s="865"/>
      <c r="C2" s="865"/>
      <c r="D2" s="865"/>
      <c r="E2" s="865"/>
      <c r="F2" s="865"/>
      <c r="G2" s="865"/>
      <c r="H2" s="865"/>
      <c r="I2" s="865"/>
      <c r="J2" s="866"/>
    </row>
    <row r="3" spans="1:10" s="2" customFormat="1" ht="28.5" customHeight="1" thickTop="1">
      <c r="A3" s="354" t="s">
        <v>206</v>
      </c>
      <c r="B3" s="766" t="str">
        <f>+表紙!B3&amp;"　　（６．給水量または給湯量）"</f>
        <v>ラックコンベア洗浄機、フライトコンベア洗浄機、フラットコンベア洗浄機(選択してください)　　（６．給水量または給湯量）</v>
      </c>
      <c r="C3" s="767"/>
      <c r="D3" s="767"/>
      <c r="E3" s="767"/>
      <c r="F3" s="767"/>
      <c r="G3" s="767"/>
      <c r="H3" s="783"/>
      <c r="I3" s="766" t="str">
        <f>"ガス種："&amp;表紙!K11</f>
        <v>ガス種：選択して下さい</v>
      </c>
      <c r="J3" s="768"/>
    </row>
    <row r="4" spans="1:10" s="2" customFormat="1" ht="18" customHeight="1" thickBot="1">
      <c r="A4" s="341" t="s">
        <v>282</v>
      </c>
      <c r="B4" s="770" t="str">
        <f>IF(表紙!$B$6=0,"",表紙!$B$6)</f>
        <v/>
      </c>
      <c r="C4" s="771"/>
      <c r="D4" s="771"/>
      <c r="E4" s="784"/>
      <c r="F4" s="5" t="s">
        <v>1</v>
      </c>
      <c r="G4" s="770" t="str">
        <f>IF(表紙!$H$5=0,"",表紙!$H$5)</f>
        <v/>
      </c>
      <c r="H4" s="771"/>
      <c r="I4" s="771"/>
      <c r="J4" s="772"/>
    </row>
    <row r="5" spans="1:10" s="2" customFormat="1" ht="15" customHeight="1">
      <c r="A5" s="182"/>
      <c r="B5" s="212"/>
      <c r="C5" s="136"/>
      <c r="D5" s="136"/>
      <c r="E5" s="136"/>
      <c r="F5" s="185"/>
      <c r="G5" s="251"/>
      <c r="H5" s="251"/>
      <c r="I5" s="251"/>
      <c r="J5" s="252"/>
    </row>
    <row r="6" spans="1:10" s="2" customFormat="1" ht="22.5" customHeight="1">
      <c r="A6" s="132"/>
      <c r="B6" s="183" t="s">
        <v>522</v>
      </c>
      <c r="C6" s="197"/>
      <c r="D6" s="133"/>
      <c r="E6" s="133"/>
      <c r="F6" s="133"/>
      <c r="G6" s="133"/>
      <c r="H6" s="133"/>
      <c r="I6" s="133"/>
      <c r="J6" s="134"/>
    </row>
    <row r="7" spans="1:10" s="2" customFormat="1" ht="18" customHeight="1">
      <c r="A7" s="132"/>
      <c r="B7" s="867" t="s">
        <v>415</v>
      </c>
      <c r="C7" s="867"/>
      <c r="D7" s="867"/>
      <c r="E7" s="867"/>
      <c r="F7" s="867"/>
      <c r="G7" s="867"/>
      <c r="H7" s="867"/>
      <c r="I7" s="867"/>
      <c r="J7" s="134"/>
    </row>
    <row r="8" spans="1:10" s="2" customFormat="1" ht="18" customHeight="1">
      <c r="A8" s="132"/>
      <c r="B8" s="867"/>
      <c r="C8" s="867"/>
      <c r="D8" s="867"/>
      <c r="E8" s="867"/>
      <c r="F8" s="867"/>
      <c r="G8" s="867"/>
      <c r="H8" s="867"/>
      <c r="I8" s="867"/>
      <c r="J8" s="134"/>
    </row>
    <row r="9" spans="1:10" s="2" customFormat="1" ht="5.25" customHeight="1" thickBot="1">
      <c r="A9" s="132"/>
      <c r="B9" s="189"/>
      <c r="C9" s="189"/>
      <c r="D9" s="189"/>
      <c r="E9" s="189"/>
      <c r="F9" s="189"/>
      <c r="G9" s="189"/>
      <c r="H9" s="189"/>
      <c r="I9" s="189"/>
      <c r="J9" s="134"/>
    </row>
    <row r="10" spans="1:10" s="2" customFormat="1" ht="23.25" customHeight="1" thickBot="1">
      <c r="A10" s="132"/>
      <c r="B10" s="253" t="s">
        <v>416</v>
      </c>
      <c r="C10" s="253"/>
      <c r="D10" s="254"/>
      <c r="E10" s="254"/>
      <c r="F10" s="145" t="s">
        <v>515</v>
      </c>
      <c r="G10" s="398" t="str">
        <f>IF(+SUM(表紙!F15,表紙!F17,表紙!J15)=0,"",+SUM(表紙!F15,表紙!F17,表紙!J15))</f>
        <v/>
      </c>
      <c r="H10" s="230" t="s">
        <v>44</v>
      </c>
      <c r="I10" s="230" t="s">
        <v>61</v>
      </c>
      <c r="J10" s="134"/>
    </row>
    <row r="11" spans="1:10" s="2" customFormat="1" ht="15" customHeight="1">
      <c r="A11" s="132"/>
      <c r="B11" s="133"/>
      <c r="C11" s="144"/>
      <c r="D11" s="144"/>
      <c r="E11" s="133"/>
      <c r="F11" s="133"/>
      <c r="G11" s="133"/>
      <c r="H11" s="133"/>
      <c r="I11" s="133"/>
      <c r="J11" s="134"/>
    </row>
    <row r="12" spans="1:10" s="2" customFormat="1" ht="22.5" customHeight="1">
      <c r="A12" s="132"/>
      <c r="B12" s="183" t="s">
        <v>64</v>
      </c>
      <c r="C12" s="197"/>
      <c r="D12" s="133"/>
      <c r="E12" s="133"/>
      <c r="F12" s="133"/>
      <c r="G12" s="133"/>
      <c r="H12" s="133"/>
      <c r="I12" s="133"/>
      <c r="J12" s="134"/>
    </row>
    <row r="13" spans="1:10" s="2" customFormat="1" ht="18" customHeight="1">
      <c r="A13" s="132"/>
      <c r="B13" s="451" t="s">
        <v>417</v>
      </c>
      <c r="C13" s="451"/>
      <c r="D13" s="451"/>
      <c r="E13" s="451"/>
      <c r="F13" s="451"/>
      <c r="G13" s="451"/>
      <c r="H13" s="451"/>
      <c r="I13" s="451"/>
      <c r="J13" s="134"/>
    </row>
    <row r="14" spans="1:10" s="2" customFormat="1" ht="5.25" customHeight="1" thickBot="1">
      <c r="A14" s="132"/>
      <c r="B14" s="189"/>
      <c r="C14" s="255"/>
      <c r="D14" s="255"/>
      <c r="E14" s="255"/>
      <c r="F14" s="255"/>
      <c r="G14" s="255"/>
      <c r="H14" s="255"/>
      <c r="I14" s="255"/>
      <c r="J14" s="134"/>
    </row>
    <row r="15" spans="1:10" s="2" customFormat="1" ht="26.25" customHeight="1" thickBot="1">
      <c r="A15" s="132"/>
      <c r="B15" s="334" t="s">
        <v>418</v>
      </c>
      <c r="C15" s="334"/>
      <c r="D15" s="230"/>
      <c r="E15" s="230"/>
      <c r="F15" s="256" t="s">
        <v>516</v>
      </c>
      <c r="G15" s="398" t="str">
        <f>IF(表紙!J13&lt;&gt;"",表紙!J13,"")</f>
        <v/>
      </c>
      <c r="H15" s="230" t="s">
        <v>17</v>
      </c>
      <c r="I15" s="230" t="s">
        <v>61</v>
      </c>
      <c r="J15" s="134"/>
    </row>
    <row r="16" spans="1:10" s="2" customFormat="1" ht="16.149999999999999" customHeight="1">
      <c r="A16" s="132"/>
      <c r="B16" s="189"/>
      <c r="C16" s="189"/>
      <c r="D16" s="189"/>
      <c r="E16" s="189"/>
      <c r="F16" s="257"/>
      <c r="G16" s="258"/>
      <c r="H16" s="189"/>
      <c r="I16" s="259"/>
      <c r="J16" s="134"/>
    </row>
    <row r="17" spans="1:10" s="2" customFormat="1" ht="18" customHeight="1">
      <c r="A17" s="132"/>
      <c r="B17" s="260" t="s">
        <v>81</v>
      </c>
      <c r="C17" s="189"/>
      <c r="D17" s="189"/>
      <c r="E17" s="189"/>
      <c r="F17" s="257"/>
      <c r="G17" s="258"/>
      <c r="H17" s="189"/>
      <c r="I17" s="259"/>
      <c r="J17" s="134"/>
    </row>
    <row r="18" spans="1:10" s="2" customFormat="1" ht="18" customHeight="1">
      <c r="A18" s="132"/>
      <c r="B18" s="451" t="s">
        <v>69</v>
      </c>
      <c r="C18" s="451"/>
      <c r="D18" s="451"/>
      <c r="E18" s="451"/>
      <c r="F18" s="451"/>
      <c r="G18" s="451"/>
      <c r="H18" s="451"/>
      <c r="I18" s="451"/>
      <c r="J18" s="134"/>
    </row>
    <row r="19" spans="1:10" s="2" customFormat="1" ht="18" customHeight="1">
      <c r="A19" s="132"/>
      <c r="B19" s="133"/>
      <c r="C19" s="144"/>
      <c r="D19" s="261"/>
      <c r="E19" s="334"/>
      <c r="F19" s="133"/>
      <c r="G19" s="133"/>
      <c r="H19" s="133"/>
      <c r="I19" s="133"/>
      <c r="J19" s="134"/>
    </row>
    <row r="20" spans="1:10" s="2" customFormat="1" ht="22.5" customHeight="1">
      <c r="A20" s="132"/>
      <c r="B20" s="183" t="s">
        <v>193</v>
      </c>
      <c r="C20" s="144"/>
      <c r="D20" s="262"/>
      <c r="E20" s="334"/>
      <c r="F20" s="133"/>
      <c r="G20" s="133"/>
      <c r="H20" s="133"/>
      <c r="I20" s="133"/>
      <c r="J20" s="134"/>
    </row>
    <row r="21" spans="1:10" s="2" customFormat="1" ht="18.75" customHeight="1">
      <c r="A21" s="132"/>
      <c r="B21" s="451" t="s">
        <v>194</v>
      </c>
      <c r="C21" s="451"/>
      <c r="D21" s="451"/>
      <c r="E21" s="451"/>
      <c r="F21" s="451"/>
      <c r="G21" s="451"/>
      <c r="H21" s="451"/>
      <c r="I21" s="451"/>
      <c r="J21" s="134"/>
    </row>
    <row r="22" spans="1:10" s="2" customFormat="1" ht="36.75" customHeight="1">
      <c r="A22" s="132"/>
      <c r="B22" s="133"/>
      <c r="C22" s="334"/>
      <c r="D22" s="262"/>
      <c r="E22" s="334"/>
      <c r="F22" s="133"/>
      <c r="G22" s="133"/>
      <c r="H22" s="133"/>
      <c r="I22" s="133"/>
      <c r="J22" s="134"/>
    </row>
    <row r="23" spans="1:10" s="2" customFormat="1" ht="25.5" customHeight="1">
      <c r="A23" s="132"/>
      <c r="B23" s="451" t="s">
        <v>419</v>
      </c>
      <c r="C23" s="451"/>
      <c r="D23" s="451"/>
      <c r="E23" s="451"/>
      <c r="F23" s="192" t="s">
        <v>425</v>
      </c>
      <c r="G23" s="399" t="str">
        <f>+G10</f>
        <v/>
      </c>
      <c r="H23" s="133" t="s">
        <v>79</v>
      </c>
      <c r="I23" s="133" t="s">
        <v>61</v>
      </c>
      <c r="J23" s="134"/>
    </row>
    <row r="24" spans="1:10" s="2" customFormat="1" ht="25.5" customHeight="1">
      <c r="A24" s="132"/>
      <c r="B24" s="451" t="s">
        <v>418</v>
      </c>
      <c r="C24" s="451"/>
      <c r="D24" s="451"/>
      <c r="E24" s="451"/>
      <c r="F24" s="192" t="s">
        <v>424</v>
      </c>
      <c r="G24" s="399" t="str">
        <f>+G15</f>
        <v/>
      </c>
      <c r="H24" s="133" t="s">
        <v>17</v>
      </c>
      <c r="I24" s="133" t="s">
        <v>61</v>
      </c>
      <c r="J24" s="134"/>
    </row>
    <row r="25" spans="1:10" s="2" customFormat="1" ht="25.5" customHeight="1">
      <c r="A25" s="132"/>
      <c r="B25" s="334" t="s">
        <v>420</v>
      </c>
      <c r="C25" s="334"/>
      <c r="D25" s="262"/>
      <c r="E25" s="334"/>
      <c r="F25" s="192" t="s">
        <v>423</v>
      </c>
      <c r="G25" s="400">
        <f>+'5.エネルギー消費量'!I297</f>
        <v>1</v>
      </c>
      <c r="H25" s="133" t="s">
        <v>24</v>
      </c>
      <c r="I25" s="133"/>
      <c r="J25" s="134"/>
    </row>
    <row r="26" spans="1:10" s="2" customFormat="1" ht="25.5" customHeight="1">
      <c r="A26" s="132"/>
      <c r="B26" s="334" t="s">
        <v>421</v>
      </c>
      <c r="C26" s="334"/>
      <c r="D26" s="262"/>
      <c r="E26" s="334"/>
      <c r="F26" s="192" t="s">
        <v>422</v>
      </c>
      <c r="G26" s="401">
        <f>+'5.エネルギー消費量'!I294</f>
        <v>1</v>
      </c>
      <c r="H26" s="133" t="s">
        <v>48</v>
      </c>
      <c r="I26" s="133"/>
      <c r="J26" s="134"/>
    </row>
    <row r="27" spans="1:10" s="2" customFormat="1" ht="7.5" customHeight="1" thickBot="1">
      <c r="A27" s="132"/>
      <c r="B27" s="334"/>
      <c r="C27" s="334"/>
      <c r="D27" s="262"/>
      <c r="E27" s="334"/>
      <c r="F27" s="133"/>
      <c r="G27" s="133"/>
      <c r="H27" s="133"/>
      <c r="I27" s="133"/>
      <c r="J27" s="134"/>
    </row>
    <row r="28" spans="1:10" s="2" customFormat="1" ht="31.5" customHeight="1" thickBot="1">
      <c r="A28" s="132"/>
      <c r="B28" s="773" t="s">
        <v>467</v>
      </c>
      <c r="C28" s="773"/>
      <c r="D28" s="773"/>
      <c r="E28" s="773"/>
      <c r="F28" s="192" t="s">
        <v>517</v>
      </c>
      <c r="G28" s="398" t="str">
        <f>IF(COUNTBLANK(G23:G26)=0,G25*G23+G26*G24,"")</f>
        <v/>
      </c>
      <c r="H28" s="197" t="s">
        <v>18</v>
      </c>
      <c r="I28" s="133" t="s">
        <v>61</v>
      </c>
      <c r="J28" s="134"/>
    </row>
    <row r="29" spans="1:10" s="2" customFormat="1" ht="15" customHeight="1">
      <c r="A29" s="132"/>
      <c r="B29" s="133"/>
      <c r="C29" s="144"/>
      <c r="D29" s="262"/>
      <c r="E29" s="334"/>
      <c r="F29" s="147"/>
      <c r="G29" s="133"/>
      <c r="H29" s="133"/>
      <c r="I29" s="133"/>
      <c r="J29" s="134"/>
    </row>
    <row r="30" spans="1:10" s="2" customFormat="1" ht="15" customHeight="1">
      <c r="A30" s="132"/>
      <c r="B30" s="133"/>
      <c r="C30" s="197"/>
      <c r="D30" s="197"/>
      <c r="E30" s="197"/>
      <c r="F30" s="197"/>
      <c r="G30" s="197"/>
      <c r="H30" s="197"/>
      <c r="I30" s="197"/>
      <c r="J30" s="134"/>
    </row>
    <row r="31" spans="1:10" s="2" customFormat="1" ht="15" customHeight="1">
      <c r="A31" s="132"/>
      <c r="B31" s="133"/>
      <c r="C31" s="197"/>
      <c r="D31" s="197"/>
      <c r="E31" s="197"/>
      <c r="F31" s="197"/>
      <c r="G31" s="197"/>
      <c r="H31" s="197"/>
      <c r="I31" s="197"/>
      <c r="J31" s="134"/>
    </row>
    <row r="32" spans="1:10" s="2" customFormat="1" ht="15" customHeight="1">
      <c r="A32" s="132"/>
      <c r="B32" s="133"/>
      <c r="C32" s="197"/>
      <c r="D32" s="197"/>
      <c r="E32" s="197"/>
      <c r="F32" s="197"/>
      <c r="G32" s="197"/>
      <c r="H32" s="197"/>
      <c r="I32" s="197"/>
      <c r="J32" s="134"/>
    </row>
    <row r="33" spans="1:10" s="2" customFormat="1" ht="15" customHeight="1">
      <c r="A33" s="132"/>
      <c r="B33" s="133"/>
      <c r="C33" s="197"/>
      <c r="D33" s="197"/>
      <c r="E33" s="197"/>
      <c r="F33" s="197"/>
      <c r="G33" s="197"/>
      <c r="H33" s="197"/>
      <c r="I33" s="197"/>
      <c r="J33" s="134"/>
    </row>
    <row r="34" spans="1:10" s="2" customFormat="1" ht="15" customHeight="1">
      <c r="A34" s="132"/>
      <c r="B34" s="133"/>
      <c r="C34" s="197"/>
      <c r="D34" s="197"/>
      <c r="E34" s="197"/>
      <c r="F34" s="197"/>
      <c r="G34" s="197"/>
      <c r="H34" s="197"/>
      <c r="I34" s="197"/>
      <c r="J34" s="134"/>
    </row>
    <row r="35" spans="1:10" s="2" customFormat="1" ht="15" customHeight="1">
      <c r="A35" s="132"/>
      <c r="B35" s="133"/>
      <c r="C35" s="197"/>
      <c r="D35" s="197"/>
      <c r="E35" s="197"/>
      <c r="F35" s="197"/>
      <c r="G35" s="197"/>
      <c r="H35" s="197"/>
      <c r="I35" s="197"/>
      <c r="J35" s="134"/>
    </row>
    <row r="36" spans="1:10" s="2" customFormat="1" ht="15" customHeight="1">
      <c r="A36" s="132"/>
      <c r="B36" s="133"/>
      <c r="C36" s="197"/>
      <c r="D36" s="197"/>
      <c r="E36" s="197"/>
      <c r="F36" s="197"/>
      <c r="G36" s="197"/>
      <c r="H36" s="197"/>
      <c r="I36" s="197"/>
      <c r="J36" s="134"/>
    </row>
    <row r="37" spans="1:10" s="2" customFormat="1" ht="15" customHeight="1">
      <c r="A37" s="132"/>
      <c r="B37" s="133"/>
      <c r="C37" s="197"/>
      <c r="D37" s="197"/>
      <c r="E37" s="197"/>
      <c r="F37" s="197"/>
      <c r="G37" s="197"/>
      <c r="H37" s="197"/>
      <c r="I37" s="197"/>
      <c r="J37" s="134"/>
    </row>
    <row r="38" spans="1:10" s="2" customFormat="1" ht="15" customHeight="1">
      <c r="A38" s="132"/>
      <c r="B38" s="133"/>
      <c r="C38" s="197"/>
      <c r="D38" s="197"/>
      <c r="E38" s="197"/>
      <c r="F38" s="197"/>
      <c r="G38" s="197"/>
      <c r="H38" s="197"/>
      <c r="I38" s="197"/>
      <c r="J38" s="134"/>
    </row>
    <row r="39" spans="1:10" s="2" customFormat="1" ht="15" customHeight="1">
      <c r="A39" s="132"/>
      <c r="B39" s="133"/>
      <c r="C39" s="197"/>
      <c r="D39" s="197"/>
      <c r="E39" s="197"/>
      <c r="F39" s="197"/>
      <c r="G39" s="197"/>
      <c r="H39" s="197"/>
      <c r="I39" s="197"/>
      <c r="J39" s="134"/>
    </row>
    <row r="40" spans="1:10" s="2" customFormat="1" ht="15" customHeight="1">
      <c r="A40" s="132"/>
      <c r="B40" s="133"/>
      <c r="C40" s="197"/>
      <c r="D40" s="197"/>
      <c r="E40" s="197"/>
      <c r="F40" s="197"/>
      <c r="G40" s="197"/>
      <c r="H40" s="197"/>
      <c r="I40" s="197"/>
      <c r="J40" s="134"/>
    </row>
    <row r="41" spans="1:10" s="2" customFormat="1" ht="15" customHeight="1">
      <c r="A41" s="132"/>
      <c r="B41" s="133"/>
      <c r="C41" s="197"/>
      <c r="D41" s="197"/>
      <c r="E41" s="197"/>
      <c r="F41" s="197"/>
      <c r="G41" s="197"/>
      <c r="H41" s="197"/>
      <c r="I41" s="197"/>
      <c r="J41" s="134"/>
    </row>
    <row r="42" spans="1:10" s="2" customFormat="1" ht="15" customHeight="1">
      <c r="A42" s="132"/>
      <c r="B42" s="133"/>
      <c r="C42" s="197"/>
      <c r="D42" s="197"/>
      <c r="E42" s="197"/>
      <c r="F42" s="197"/>
      <c r="G42" s="197"/>
      <c r="H42" s="197"/>
      <c r="I42" s="197"/>
      <c r="J42" s="134"/>
    </row>
    <row r="43" spans="1:10" s="2" customFormat="1" ht="15" customHeight="1">
      <c r="A43" s="132"/>
      <c r="B43" s="133"/>
      <c r="C43" s="197"/>
      <c r="D43" s="197"/>
      <c r="E43" s="197"/>
      <c r="F43" s="197"/>
      <c r="G43" s="197"/>
      <c r="H43" s="197"/>
      <c r="I43" s="197"/>
      <c r="J43" s="134"/>
    </row>
    <row r="44" spans="1:10" s="2" customFormat="1" ht="16.899999999999999" customHeight="1" thickBot="1">
      <c r="A44" s="172"/>
      <c r="B44" s="153"/>
      <c r="C44" s="153"/>
      <c r="D44" s="263"/>
      <c r="E44" s="153"/>
      <c r="F44" s="153"/>
      <c r="G44" s="153"/>
      <c r="H44" s="153"/>
      <c r="I44" s="153"/>
      <c r="J44" s="154"/>
    </row>
    <row r="45" spans="1:10" s="2" customFormat="1" ht="8.4499999999999993" customHeight="1">
      <c r="A45" s="1"/>
      <c r="B45" s="1"/>
      <c r="C45" s="1"/>
      <c r="D45" s="1"/>
      <c r="E45" s="1"/>
      <c r="F45" s="1"/>
      <c r="G45" s="1"/>
      <c r="H45" s="1"/>
      <c r="I45" s="1"/>
      <c r="J45" s="1"/>
    </row>
    <row r="46" spans="1:10" s="2" customFormat="1" ht="15" customHeight="1">
      <c r="A46" s="1"/>
      <c r="B46" s="1"/>
      <c r="C46" s="1"/>
      <c r="D46" s="1"/>
      <c r="E46" s="1"/>
      <c r="F46" s="1"/>
      <c r="G46" s="1"/>
      <c r="H46" s="1"/>
      <c r="I46" s="1"/>
      <c r="J46" s="1"/>
    </row>
    <row r="51" ht="8.4499999999999993" customHeight="1"/>
  </sheetData>
  <sheetProtection password="CC9A" sheet="1" objects="1" scenarios="1" formatCells="0" formatRows="0" insertRows="0" deleteRows="0"/>
  <mergeCells count="7">
    <mergeCell ref="B28:E28"/>
    <mergeCell ref="A2:J2"/>
    <mergeCell ref="I3:J3"/>
    <mergeCell ref="B3:H3"/>
    <mergeCell ref="B7:I8"/>
    <mergeCell ref="B4:E4"/>
    <mergeCell ref="G4:J4"/>
  </mergeCells>
  <phoneticPr fontId="3"/>
  <conditionalFormatting sqref="A1">
    <cfRule type="expression" dxfId="2" priority="4" stopIfTrue="1">
      <formula>$G$26&lt;&gt;1</formula>
    </cfRule>
  </conditionalFormatting>
  <conditionalFormatting sqref="G25">
    <cfRule type="expression" dxfId="1" priority="3" stopIfTrue="1">
      <formula>$G$25&lt;&gt;1</formula>
    </cfRule>
  </conditionalFormatting>
  <conditionalFormatting sqref="G26">
    <cfRule type="expression" dxfId="0" priority="1" stopIfTrue="1">
      <formula>$G$26&lt;&gt;1</formula>
    </cfRule>
  </conditionalFormatting>
  <pageMargins left="0.78740157480314965" right="0.51181102362204722" top="0.59055118110236227" bottom="0.59055118110236227" header="0.19685039370078741" footer="0.19685039370078741"/>
  <pageSetup paperSize="9" orientation="portrait" horizontalDpi="300" verticalDpi="300" r:id="rId1"/>
  <headerFooter alignWithMargins="0"/>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表紙</vt:lpstr>
      <vt:lpstr>1.定格エネルギー消費量</vt:lpstr>
      <vt:lpstr>3.立上り性能</vt:lpstr>
      <vt:lpstr>4.処理能力</vt:lpstr>
      <vt:lpstr>5.エネルギー消費量</vt:lpstr>
      <vt:lpstr>6.給水量または給湯量</vt:lpstr>
      <vt:lpstr>'1.定格エネルギー消費量'!Print_Area</vt:lpstr>
      <vt:lpstr>'3.立上り性能'!Print_Area</vt:lpstr>
      <vt:lpstr>'4.処理能力'!Print_Area</vt:lpstr>
      <vt:lpstr>'5.エネルギー消費量'!Print_Area</vt:lpstr>
      <vt:lpstr>'6.給水量または給湯量'!Print_Area</vt:lpstr>
      <vt:lpstr>表紙!Print_Area</vt:lpstr>
      <vt:lpstr>フライトコンベア洗浄機</vt:lpstr>
      <vt:lpstr>フラットコンベア洗浄機</vt:lpstr>
      <vt:lpstr>ラックコンベア洗浄機</vt:lpstr>
      <vt:lpstr>ラックコンベア洗浄機_フライトコンベア洗浄機_フラットコンベア洗浄機_選択してください</vt:lpstr>
      <vt:lpstr>給水接続</vt:lpstr>
      <vt:lpstr>給水接続エネ</vt:lpstr>
      <vt:lpstr>給湯接続</vt:lpstr>
      <vt:lpstr>給湯接続エネ</vt:lpstr>
      <vt:lpstr>空水接続</vt:lpstr>
      <vt:lpstr>空接続エネ</vt:lpstr>
      <vt:lpstr>品目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2016-02-10T13:08:35Z</dcterms:created>
  <dcterms:modified xsi:type="dcterms:W3CDTF">2017-03-15T23:48:24Z</dcterms:modified>
</cp:coreProperties>
</file>